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omments1.xml" ContentType="application/vnd.openxmlformats-officedocument.spreadsheetml.comment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8.xml" ContentType="application/vnd.openxmlformats-officedocument.drawing+xml"/>
  <Override PartName="/xl/comments2.xml" ContentType="application/vnd.openxmlformats-officedocument.spreadsheetml.comment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comments3.xml" ContentType="application/vnd.openxmlformats-officedocument.spreadsheetml.comment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0.xml" ContentType="application/vnd.openxmlformats-officedocument.drawing+xml"/>
  <Override PartName="/xl/comments4.xml" ContentType="application/vnd.openxmlformats-officedocument.spreadsheetml.comment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1.xml" ContentType="application/vnd.openxmlformats-officedocument.drawing+xml"/>
  <Override PartName="/xl/comments5.xml" ContentType="application/vnd.openxmlformats-officedocument.spreadsheetml.comment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2.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3.xml" ContentType="application/vnd.openxmlformats-officedocument.drawing+xml"/>
  <Override PartName="/xl/comments6.xml" ContentType="application/vnd.openxmlformats-officedocument.spreadsheetml.comment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4.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codeName="ThisWorkbook" defaultThemeVersion="124226"/>
  <mc:AlternateContent xmlns:mc="http://schemas.openxmlformats.org/markup-compatibility/2006">
    <mc:Choice Requires="x15">
      <x15ac:absPath xmlns:x15ac="http://schemas.microsoft.com/office/spreadsheetml/2010/11/ac" url="D:\HY\Monisteet\Kapasiteetti\Esimerkkilaskut\"/>
    </mc:Choice>
  </mc:AlternateContent>
  <xr:revisionPtr revIDLastSave="0" documentId="13_ncr:1_{D9F304BA-D417-4D63-BB3E-B227B7907A70}" xr6:coauthVersionLast="47" xr6:coauthVersionMax="47" xr10:uidLastSave="{00000000-0000-0000-0000-000000000000}"/>
  <bookViews>
    <workbookView xWindow="3040" yWindow="3040" windowWidth="24910" windowHeight="17160" xr2:uid="{00000000-000D-0000-FFFF-FFFF00000000}"/>
  </bookViews>
  <sheets>
    <sheet name="Laskuesimerkit" sheetId="15" r:id="rId1"/>
    <sheet name="Poutapäivät" sheetId="14" r:id="rId2"/>
    <sheet name="Koneluotettavuus" sheetId="13" r:id="rId3"/>
    <sheet name="Kylvökapasiteetti" sheetId="12" r:id="rId4"/>
    <sheet name="Kylvökapasiteetti 2 tekijää" sheetId="11" r:id="rId5"/>
    <sheet name="Suorakylvö" sheetId="10" r:id="rId6"/>
    <sheet name="Nurmiketju" sheetId="9" r:id="rId7"/>
    <sheet name="Noukinvaunu" sheetId="8" r:id="rId8"/>
    <sheet name="Paalain" sheetId="7" r:id="rId9"/>
    <sheet name="Puinti" sheetId="6" r:id="rId10"/>
    <sheet name="Äes_1" sheetId="4" r:id="rId11"/>
    <sheet name="Äes_2" sheetId="3" r:id="rId12"/>
    <sheet name="Äes_3" sheetId="1" r:id="rId13"/>
    <sheet name="Nurmikone" sheetId="5" r:id="rId14"/>
  </sheets>
  <externalReferences>
    <externalReference r:id="rId15"/>
    <externalReference r:id="rId16"/>
  </externalReferences>
  <definedNames>
    <definedName name="_fii2">[1]Teräkulma!$D$13</definedName>
    <definedName name="_myy2">[1]Teräkulma!$D$15</definedName>
    <definedName name="alfa">[2]Söhne!$D$12</definedName>
    <definedName name="b">[2]Terävoima!$D$5</definedName>
    <definedName name="beeta">'[2]Leveä terä'!$C$29</definedName>
    <definedName name="ca">[2]Terävoima!$D$16</definedName>
    <definedName name="coin_cuttype" localSheetId="3" hidden="1">1</definedName>
    <definedName name="coin_cuttype" localSheetId="4" hidden="1">1</definedName>
    <definedName name="coin_cuttype" localSheetId="5" hidden="1">1</definedName>
    <definedName name="coin_dualtol" localSheetId="3" hidden="1">"0.0000001"</definedName>
    <definedName name="coin_dualtol" localSheetId="4" hidden="1">"0.0000001"</definedName>
    <definedName name="coin_dualtol" localSheetId="5" hidden="1">"0.0000001"</definedName>
    <definedName name="coin_heurs" localSheetId="3" hidden="1">1</definedName>
    <definedName name="coin_heurs" localSheetId="4" hidden="1">1</definedName>
    <definedName name="coin_heurs" localSheetId="5" hidden="1">1</definedName>
    <definedName name="coin_integerpresolve" localSheetId="3" hidden="1">1</definedName>
    <definedName name="coin_integerpresolve" localSheetId="4" hidden="1">1</definedName>
    <definedName name="coin_integerpresolve" localSheetId="5" hidden="1">1</definedName>
    <definedName name="coin_presolve1" localSheetId="3" hidden="1">1</definedName>
    <definedName name="coin_presolve1" localSheetId="4" hidden="1">1</definedName>
    <definedName name="coin_presolve1" localSheetId="5" hidden="1">1</definedName>
    <definedName name="coin_primaltol" localSheetId="3" hidden="1">"0.0000001"</definedName>
    <definedName name="coin_primaltol" localSheetId="4" hidden="1">"0.0000001"</definedName>
    <definedName name="coin_primaltol" localSheetId="5" hidden="1">"0.0000001"</definedName>
    <definedName name="delta">'[2]Leveä terä'!$C$26</definedName>
    <definedName name="f">Äes_3!$D$43</definedName>
    <definedName name="fii">[2]Söhne!$D$15</definedName>
    <definedName name="gamma">[2]Söhne!$D$22</definedName>
    <definedName name="gamma2">[1]Teräkulma!$D$20</definedName>
    <definedName name="Kc">[2]Terävoima!$D$24</definedName>
    <definedName name="Kca">[2]Terävoima!$D$23</definedName>
    <definedName name="koh">[2]Terävoima!$D$13</definedName>
    <definedName name="Kq">[2]Terävoima!$D$25</definedName>
    <definedName name="Kr">[2]Terävoima!$D$22</definedName>
    <definedName name="P">[2]Terävoima!$D$31</definedName>
    <definedName name="q">[2]Terävoima!$D$14</definedName>
    <definedName name="roo">[2]Terävoima!$D$10</definedName>
    <definedName name="s">Äes_3!$D$42</definedName>
    <definedName name="solver_adj" localSheetId="3" hidden="1">Kylvökapasiteetti!$C$17,Kylvökapasiteetti!$C$26,Kylvökapasiteetti!$C$40</definedName>
    <definedName name="solver_adj" localSheetId="4" hidden="1">'Kylvökapasiteetti 2 tekijää'!$I$19</definedName>
    <definedName name="solver_adj" localSheetId="7" hidden="1">Noukinvaunu!$D$16,Noukinvaunu!$D$29</definedName>
    <definedName name="solver_adj" localSheetId="6" hidden="1">Nurmiketju!$D$17</definedName>
    <definedName name="solver_adj" localSheetId="8" hidden="1">Paalain!$D$16</definedName>
    <definedName name="solver_adj" localSheetId="9" hidden="1">Puinti!$D$15</definedName>
    <definedName name="solver_adj" localSheetId="5" hidden="1">Suorakylvö!$K$17</definedName>
    <definedName name="solver_adj1" localSheetId="3" hidden="1">Kylvökapasiteetti!$C$26</definedName>
    <definedName name="solver_adj1" localSheetId="4" hidden="1">'Kylvökapasiteetti 2 tekijää'!$C$30</definedName>
    <definedName name="solver_adj1" localSheetId="7" hidden="1">Noukinvaunu!$D$29</definedName>
    <definedName name="solver_adj1" localSheetId="6" hidden="1">Nurmiketju!$D$30</definedName>
    <definedName name="solver_adj1" localSheetId="8" hidden="1">Paalain!$D$29</definedName>
    <definedName name="solver_adj1" localSheetId="9" hidden="1">Puinti!#REF!</definedName>
    <definedName name="solver_adj2" localSheetId="3" hidden="1">Kylvökapasiteetti!$C$40</definedName>
    <definedName name="solver_cvg" localSheetId="3" hidden="1">"""""""""""""""""""""""""""""""""""""""""""""""""""""""""""""""""""""""""""""""""""""""""""""""""""""""""""""""""""""""""""""""0.0001"""""""""""""""""""""""""""""""""""""""""""""""""""""""""""""""""""""""""""""""""""""""""""""""""""""""""""""""""""""""""""""""</definedName>
    <definedName name="solver_cvg" localSheetId="4" hidden="1">0.0001</definedName>
    <definedName name="solver_cvg" localSheetId="7" hidden="1">0.0001</definedName>
    <definedName name="solver_cvg" localSheetId="5" hidden="1">0.0001</definedName>
    <definedName name="solver_drv" localSheetId="3" hidden="1">1</definedName>
    <definedName name="solver_drv" localSheetId="4" hidden="1">1</definedName>
    <definedName name="solver_drv" localSheetId="7" hidden="1">1</definedName>
    <definedName name="solver_drv" localSheetId="5" hidden="1">1</definedName>
    <definedName name="solver_eng" localSheetId="3" hidden="1">1</definedName>
    <definedName name="solver_eng" localSheetId="4" hidden="1">0</definedName>
    <definedName name="solver_eng" localSheetId="7" hidden="1">0</definedName>
    <definedName name="solver_eng" localSheetId="6" hidden="1">0</definedName>
    <definedName name="solver_eng" localSheetId="8" hidden="1">0</definedName>
    <definedName name="solver_eng" localSheetId="9" hidden="1">0</definedName>
    <definedName name="solver_eng" localSheetId="5" hidden="1">0</definedName>
    <definedName name="solver_est" localSheetId="3" hidden="1">1</definedName>
    <definedName name="solver_est" localSheetId="4" hidden="1">1</definedName>
    <definedName name="solver_est" localSheetId="7" hidden="1">1</definedName>
    <definedName name="solver_est" localSheetId="5" hidden="1">1</definedName>
    <definedName name="solver_itr" localSheetId="3" hidden="1">100</definedName>
    <definedName name="solver_itr" localSheetId="4" hidden="1">2147483647</definedName>
    <definedName name="solver_itr" localSheetId="7" hidden="1">2147483647</definedName>
    <definedName name="solver_itr" localSheetId="5" hidden="1">2147483647</definedName>
    <definedName name="solver_kiv" localSheetId="3" hidden="1">2E+30</definedName>
    <definedName name="solver_kiv" localSheetId="4" hidden="1">2E+30</definedName>
    <definedName name="solver_kiv" localSheetId="5" hidden="1">2E+30</definedName>
    <definedName name="solver_lhs1" localSheetId="3" hidden="1">Kylvökapasiteetti!$C$40</definedName>
    <definedName name="solver_lhs1" localSheetId="4" hidden="1">'Kylvökapasiteetti 2 tekijää'!$I$19</definedName>
    <definedName name="solver_lhs1" localSheetId="7" hidden="1">Noukinvaunu!$D$29</definedName>
    <definedName name="solver_lhs1" localSheetId="6" hidden="1">Nurmiketju!$D$17</definedName>
    <definedName name="solver_lhs1" localSheetId="8" hidden="1">Paalain!$D$16</definedName>
    <definedName name="solver_lhs1" localSheetId="9" hidden="1">Puinti!$D$15</definedName>
    <definedName name="solver_lhs1" localSheetId="5" hidden="1">Suorakylvö!$K$17</definedName>
    <definedName name="solver_lhs2" localSheetId="3" hidden="1">Kylvökapasiteetti!$C$17</definedName>
    <definedName name="solver_lhs2" localSheetId="4" hidden="1">'Kylvökapasiteetti 2 tekijää'!$C$30</definedName>
    <definedName name="solver_lhs2" localSheetId="7" hidden="1">Noukinvaunu!$D$29</definedName>
    <definedName name="solver_lhs2" localSheetId="6" hidden="1">Nurmiketju!$D$17</definedName>
    <definedName name="solver_lhs2" localSheetId="8" hidden="1">Paalain!$D$16</definedName>
    <definedName name="solver_lhs2" localSheetId="9" hidden="1">Puinti!$D$15</definedName>
    <definedName name="solver_lhs2" localSheetId="5" hidden="1">Suorakylvö!$C$15</definedName>
    <definedName name="solver_lhs3" localSheetId="3" hidden="1">Kylvökapasiteetti!$C$17</definedName>
    <definedName name="solver_lhs3" localSheetId="4" hidden="1">'Kylvökapasiteetti 2 tekijää'!$C$30</definedName>
    <definedName name="solver_lhs3" localSheetId="7" hidden="1">Noukinvaunu!$D$37</definedName>
    <definedName name="solver_lhs3" localSheetId="6" hidden="1">Nurmiketju!$D$30</definedName>
    <definedName name="solver_lhs3" localSheetId="8" hidden="1">Paalain!$D$29</definedName>
    <definedName name="solver_lhs3" localSheetId="9" hidden="1">Puinti!#REF!</definedName>
    <definedName name="solver_lhs3" localSheetId="5" hidden="1">Suorakylvö!$C$27</definedName>
    <definedName name="solver_lhs4" localSheetId="3" hidden="1">Kylvökapasiteetti!$C$26</definedName>
    <definedName name="solver_lhs4" localSheetId="4" hidden="1">'Kylvökapasiteetti 2 tekijää'!$C$30</definedName>
    <definedName name="solver_lhs4" localSheetId="7" hidden="1">Noukinvaunu!$D$29</definedName>
    <definedName name="solver_lhs4" localSheetId="6" hidden="1">Nurmiketju!$D$30</definedName>
    <definedName name="solver_lhs4" localSheetId="8" hidden="1">Paalain!$D$29</definedName>
    <definedName name="solver_lhs4" localSheetId="9" hidden="1">Puinti!#REF!</definedName>
    <definedName name="solver_lhs4" localSheetId="5" hidden="1">Suorakylvö!$C$27</definedName>
    <definedName name="solver_lhs5" localSheetId="3" hidden="1">Kylvökapasiteetti!$C$26</definedName>
    <definedName name="solver_lhs5" localSheetId="4" hidden="1">'Kylvökapasiteetti 2 tekijää'!$I$19</definedName>
    <definedName name="solver_lhs5" localSheetId="7" hidden="1">Noukinvaunu!$D$16</definedName>
    <definedName name="solver_lhs5" localSheetId="6" hidden="1">Nurmiketju!$D$38</definedName>
    <definedName name="solver_lhs5" localSheetId="8" hidden="1">Paalain!$D$37</definedName>
    <definedName name="solver_lhs5" localSheetId="9" hidden="1">Puinti!#REF!</definedName>
    <definedName name="solver_lhs5" localSheetId="5" hidden="1">Suorakylvö!$C$38</definedName>
    <definedName name="solver_lhs6" localSheetId="3" hidden="1">Kylvökapasiteetti!$C$40</definedName>
    <definedName name="solver_lhs6" localSheetId="4" hidden="1">'Kylvökapasiteetti 2 tekijää'!#REF!</definedName>
    <definedName name="solver_lhs6" localSheetId="7" hidden="1">Noukinvaunu!$D$29</definedName>
    <definedName name="solver_lhs6" localSheetId="6" hidden="1">Nurmiketju!$D$38</definedName>
    <definedName name="solver_lhs6" localSheetId="8" hidden="1">Paalain!$D$37</definedName>
    <definedName name="solver_lhs6" localSheetId="9" hidden="1">Puinti!#REF!</definedName>
    <definedName name="solver_lhs6" localSheetId="5" hidden="1">Suorakylvö!$C$38</definedName>
    <definedName name="solver_lhs7" localSheetId="4" hidden="1">'Kylvökapasiteetti 2 tekijää'!$C$58</definedName>
    <definedName name="solver_lhs7" localSheetId="5" hidden="1">Suorakylvö!$C$27</definedName>
    <definedName name="solver_lin" localSheetId="3" hidden="1">2</definedName>
    <definedName name="solver_lin" localSheetId="5" hidden="1">2</definedName>
    <definedName name="solver_mip" localSheetId="3" hidden="1">2147483647</definedName>
    <definedName name="solver_mip" localSheetId="4" hidden="1">2147483647</definedName>
    <definedName name="solver_mip" localSheetId="7" hidden="1">2147483647</definedName>
    <definedName name="solver_mip" localSheetId="5" hidden="1">2147483647</definedName>
    <definedName name="solver_mni" localSheetId="3" hidden="1">30</definedName>
    <definedName name="solver_mni" localSheetId="4" hidden="1">30</definedName>
    <definedName name="solver_mni" localSheetId="7" hidden="1">30</definedName>
    <definedName name="solver_mni" localSheetId="5" hidden="1">30</definedName>
    <definedName name="solver_mrt" localSheetId="3" hidden="1">"""""""""""""""""""""""""""""""""""""""""""""""""""""""""""""""""""""""""""""""""""""""""""""""""""""""""""""""""""""""""""""""0.075"""""""""""""""""""""""""""""""""""""""""""""""""""""""""""""""""""""""""""""""""""""""""""""""""""""""""""""""""""""""""""""""</definedName>
    <definedName name="solver_mrt" localSheetId="4" hidden="1">0.075</definedName>
    <definedName name="solver_mrt" localSheetId="7" hidden="1">0.075</definedName>
    <definedName name="solver_mrt" localSheetId="5" hidden="1">0.075</definedName>
    <definedName name="solver_msl" localSheetId="3" hidden="1">2</definedName>
    <definedName name="solver_msl" localSheetId="4" hidden="1">2</definedName>
    <definedName name="solver_msl" localSheetId="7" hidden="1">2</definedName>
    <definedName name="solver_msl" localSheetId="5" hidden="1">2</definedName>
    <definedName name="solver_neg" localSheetId="3" hidden="1">1</definedName>
    <definedName name="solver_neg" localSheetId="4" hidden="1">1</definedName>
    <definedName name="solver_neg" localSheetId="7" hidden="1">1</definedName>
    <definedName name="solver_neg" localSheetId="5" hidden="1">1</definedName>
    <definedName name="solver_nod" localSheetId="3" hidden="1">2147483647</definedName>
    <definedName name="solver_nod" localSheetId="4" hidden="1">2147483647</definedName>
    <definedName name="solver_nod" localSheetId="7" hidden="1">2147483647</definedName>
    <definedName name="solver_nod" localSheetId="5" hidden="1">2147483647</definedName>
    <definedName name="solver_num" localSheetId="3" hidden="1">6</definedName>
    <definedName name="solver_num" localSheetId="4" hidden="1">1</definedName>
    <definedName name="solver_num" localSheetId="7" hidden="1">0</definedName>
    <definedName name="solver_num" localSheetId="6" hidden="1">6</definedName>
    <definedName name="solver_num" localSheetId="8" hidden="1">6</definedName>
    <definedName name="solver_num" localSheetId="9" hidden="1">6</definedName>
    <definedName name="solver_num" localSheetId="5" hidden="1">1</definedName>
    <definedName name="solver_nwt" localSheetId="3" hidden="1">1</definedName>
    <definedName name="solver_nwt" localSheetId="4" hidden="1">1</definedName>
    <definedName name="solver_nwt" localSheetId="7" hidden="1">1</definedName>
    <definedName name="solver_nwt" localSheetId="5" hidden="1">1</definedName>
    <definedName name="solver_opt" localSheetId="3" hidden="1">Kylvökapasiteetti!$E$47</definedName>
    <definedName name="solver_opt" localSheetId="4" hidden="1">'Kylvökapasiteetti 2 tekijää'!$I$41</definedName>
    <definedName name="solver_opt" localSheetId="7" hidden="1">Noukinvaunu!$H$61</definedName>
    <definedName name="solver_opt" localSheetId="6" hidden="1">Nurmiketju!$C$42</definedName>
    <definedName name="solver_opt" localSheetId="8" hidden="1">Paalain!$H$41</definedName>
    <definedName name="solver_opt" localSheetId="9" hidden="1">Puinti!#REF!</definedName>
    <definedName name="solver_opt" localSheetId="5" hidden="1">Suorakylvö!$M$25</definedName>
    <definedName name="solver_pre" localSheetId="3" hidden="1">"""""""""""""""""""""""""""""""""""""""""""""""""""""""""""""""""""""""""""""""""""""""""""""""""""""""""""""""""""""""""""""""0.000001"""""""""""""""""""""""""""""""""""""""""""""""""""""""""""""""""""""""""""""""""""""""""""""""""""""""""""""""""""""""""""""""</definedName>
    <definedName name="solver_pre" localSheetId="4" hidden="1">0.000001</definedName>
    <definedName name="solver_pre" localSheetId="7" hidden="1">0.000001</definedName>
    <definedName name="solver_pre" localSheetId="5" hidden="1">0.000001</definedName>
    <definedName name="solver_rbv" localSheetId="3" hidden="1">1</definedName>
    <definedName name="solver_rbv" localSheetId="4" hidden="1">1</definedName>
    <definedName name="solver_rbv" localSheetId="7" hidden="1">1</definedName>
    <definedName name="solver_rbv" localSheetId="5" hidden="1">1</definedName>
    <definedName name="solver_rel1" localSheetId="3" hidden="1">3</definedName>
    <definedName name="solver_rel1" localSheetId="4" hidden="1">3</definedName>
    <definedName name="solver_rel1" localSheetId="7" hidden="1">1</definedName>
    <definedName name="solver_rel1" localSheetId="6" hidden="1">3</definedName>
    <definedName name="solver_rel1" localSheetId="8" hidden="1">3</definedName>
    <definedName name="solver_rel1" localSheetId="9" hidden="1">3</definedName>
    <definedName name="solver_rel1" localSheetId="5" hidden="1">3</definedName>
    <definedName name="solver_rel2" localSheetId="3" hidden="1">3</definedName>
    <definedName name="solver_rel2" localSheetId="4" hidden="1">3</definedName>
    <definedName name="solver_rel2" localSheetId="7" hidden="1">1</definedName>
    <definedName name="solver_rel2" localSheetId="6" hidden="1">1</definedName>
    <definedName name="solver_rel2" localSheetId="8" hidden="1">1</definedName>
    <definedName name="solver_rel2" localSheetId="9" hidden="1">1</definedName>
    <definedName name="solver_rel2" localSheetId="5" hidden="1">3</definedName>
    <definedName name="solver_rel3" localSheetId="3" hidden="1">1</definedName>
    <definedName name="solver_rel3" localSheetId="4" hidden="1">3</definedName>
    <definedName name="solver_rel3" localSheetId="7" hidden="1">3</definedName>
    <definedName name="solver_rel3" localSheetId="6" hidden="1">3</definedName>
    <definedName name="solver_rel3" localSheetId="8" hidden="1">3</definedName>
    <definedName name="solver_rel3" localSheetId="9" hidden="1">3</definedName>
    <definedName name="solver_rel3" localSheetId="5" hidden="1">1</definedName>
    <definedName name="solver_rel4" localSheetId="3" hidden="1">1</definedName>
    <definedName name="solver_rel4" localSheetId="4" hidden="1">3</definedName>
    <definedName name="solver_rel4" localSheetId="7" hidden="1">1</definedName>
    <definedName name="solver_rel4" localSheetId="6" hidden="1">1</definedName>
    <definedName name="solver_rel4" localSheetId="8" hidden="1">1</definedName>
    <definedName name="solver_rel4" localSheetId="9" hidden="1">1</definedName>
    <definedName name="solver_rel4" localSheetId="5" hidden="1">3</definedName>
    <definedName name="solver_rel5" localSheetId="3" hidden="1">3</definedName>
    <definedName name="solver_rel5" localSheetId="4" hidden="1">3</definedName>
    <definedName name="solver_rel5" localSheetId="7" hidden="1">1</definedName>
    <definedName name="solver_rel5" localSheetId="6" hidden="1">3</definedName>
    <definedName name="solver_rel5" localSheetId="8" hidden="1">3</definedName>
    <definedName name="solver_rel5" localSheetId="9" hidden="1">3</definedName>
    <definedName name="solver_rel5" localSheetId="5" hidden="1">1</definedName>
    <definedName name="solver_rel6" localSheetId="3" hidden="1">1</definedName>
    <definedName name="solver_rel6" localSheetId="4" hidden="1">1</definedName>
    <definedName name="solver_rel6" localSheetId="7" hidden="1">3</definedName>
    <definedName name="solver_rel6" localSheetId="6" hidden="1">1</definedName>
    <definedName name="solver_rel6" localSheetId="8" hidden="1">1</definedName>
    <definedName name="solver_rel6" localSheetId="9" hidden="1">1</definedName>
    <definedName name="solver_rel6" localSheetId="5" hidden="1">3</definedName>
    <definedName name="solver_rel7" localSheetId="4" hidden="1">1</definedName>
    <definedName name="solver_rel7" localSheetId="5" hidden="1">3</definedName>
    <definedName name="solver_rhs1" localSheetId="3" hidden="1">3</definedName>
    <definedName name="solver_rhs1" localSheetId="4" hidden="1">2.5</definedName>
    <definedName name="solver_rhs1" localSheetId="7" hidden="1">12</definedName>
    <definedName name="solver_rhs1" localSheetId="6" hidden="1">2.5</definedName>
    <definedName name="solver_rhs1" localSheetId="8" hidden="1">2.5</definedName>
    <definedName name="solver_rhs1" localSheetId="9" hidden="1">2.5</definedName>
    <definedName name="solver_rhs1" localSheetId="5" hidden="1">2.5</definedName>
    <definedName name="solver_rhs2" localSheetId="3" hidden="1">5</definedName>
    <definedName name="solver_rhs2" localSheetId="4" hidden="1">2.5</definedName>
    <definedName name="solver_rhs2" localSheetId="7" hidden="1">12</definedName>
    <definedName name="solver_rhs2" localSheetId="6" hidden="1">9</definedName>
    <definedName name="solver_rhs2" localSheetId="8" hidden="1">9</definedName>
    <definedName name="solver_rhs2" localSheetId="9" hidden="1">9</definedName>
    <definedName name="solver_rhs2" localSheetId="5" hidden="1">5</definedName>
    <definedName name="solver_rhs3" localSheetId="3" hidden="1">10</definedName>
    <definedName name="solver_rhs3" localSheetId="4" hidden="1">2.5</definedName>
    <definedName name="solver_rhs3" localSheetId="7" hidden="1">6</definedName>
    <definedName name="solver_rhs3" localSheetId="6" hidden="1">4</definedName>
    <definedName name="solver_rhs3" localSheetId="8" hidden="1">4</definedName>
    <definedName name="solver_rhs3" localSheetId="9" hidden="1">4</definedName>
    <definedName name="solver_rhs3" localSheetId="5" hidden="1">10</definedName>
    <definedName name="solver_rhs4" localSheetId="3" hidden="1">10</definedName>
    <definedName name="solver_rhs4" localSheetId="4" hidden="1">2.5</definedName>
    <definedName name="solver_rhs4" localSheetId="7" hidden="1">10</definedName>
    <definedName name="solver_rhs4" localSheetId="6" hidden="1">10</definedName>
    <definedName name="solver_rhs4" localSheetId="8" hidden="1">10</definedName>
    <definedName name="solver_rhs4" localSheetId="9" hidden="1">10</definedName>
    <definedName name="solver_rhs4" localSheetId="5" hidden="1">5</definedName>
    <definedName name="solver_rhs5" localSheetId="3" hidden="1">4</definedName>
    <definedName name="solver_rhs5" localSheetId="4" hidden="1">2.5</definedName>
    <definedName name="solver_rhs5" localSheetId="7" hidden="1">9</definedName>
    <definedName name="solver_rhs5" localSheetId="6" hidden="1">6</definedName>
    <definedName name="solver_rhs5" localSheetId="8" hidden="1">6</definedName>
    <definedName name="solver_rhs5" localSheetId="9" hidden="1">6</definedName>
    <definedName name="solver_rhs5" localSheetId="5" hidden="1">7</definedName>
    <definedName name="solver_rhs6" localSheetId="3" hidden="1">6</definedName>
    <definedName name="solver_rhs6" localSheetId="4" hidden="1">'Kylvökapasiteetti 2 tekijää'!$I$28</definedName>
    <definedName name="solver_rhs6" localSheetId="7" hidden="1">4</definedName>
    <definedName name="solver_rhs6" localSheetId="6" hidden="1">10</definedName>
    <definedName name="solver_rhs6" localSheetId="8" hidden="1">10</definedName>
    <definedName name="solver_rhs6" localSheetId="9" hidden="1">10</definedName>
    <definedName name="solver_rhs6" localSheetId="5" hidden="1">3</definedName>
    <definedName name="solver_rhs7" localSheetId="4" hidden="1">85</definedName>
    <definedName name="solver_rhs7" localSheetId="5" hidden="1">4</definedName>
    <definedName name="solver_rlx" localSheetId="3" hidden="1">2</definedName>
    <definedName name="solver_rlx" localSheetId="4" hidden="1">2</definedName>
    <definedName name="solver_rlx" localSheetId="7" hidden="1">2</definedName>
    <definedName name="solver_rlx" localSheetId="5" hidden="1">2</definedName>
    <definedName name="solver_rsd" localSheetId="3" hidden="1">0</definedName>
    <definedName name="solver_rsd" localSheetId="4" hidden="1">0</definedName>
    <definedName name="solver_rsd" localSheetId="7" hidden="1">0</definedName>
    <definedName name="solver_rsd" localSheetId="5" hidden="1">0</definedName>
    <definedName name="solver_rxc1" localSheetId="4" hidden="1">1</definedName>
    <definedName name="solver_rxc2" localSheetId="7" hidden="1">1</definedName>
    <definedName name="solver_rxc2" localSheetId="6" hidden="1">1</definedName>
    <definedName name="solver_rxc2" localSheetId="8" hidden="1">1</definedName>
    <definedName name="solver_rxc2" localSheetId="9" hidden="1">1</definedName>
    <definedName name="solver_rxc3" localSheetId="7" hidden="1">1</definedName>
    <definedName name="solver_rxc3" localSheetId="6" hidden="1">1</definedName>
    <definedName name="solver_rxc3" localSheetId="8" hidden="1">1</definedName>
    <definedName name="solver_rxc3" localSheetId="9" hidden="1">1</definedName>
    <definedName name="solver_rxc4" localSheetId="7" hidden="1">1</definedName>
    <definedName name="solver_rxc4" localSheetId="6" hidden="1">1</definedName>
    <definedName name="solver_rxc4" localSheetId="8" hidden="1">1</definedName>
    <definedName name="solver_rxc4" localSheetId="9" hidden="1">1</definedName>
    <definedName name="solver_rxc5" localSheetId="7" hidden="1">1</definedName>
    <definedName name="solver_rxc5" localSheetId="6" hidden="1">1</definedName>
    <definedName name="solver_rxc5" localSheetId="8" hidden="1">1</definedName>
    <definedName name="solver_rxc5" localSheetId="9" hidden="1">1</definedName>
    <definedName name="solver_rxv" localSheetId="3" hidden="1">1</definedName>
    <definedName name="solver_rxv" localSheetId="4" hidden="1">1</definedName>
    <definedName name="solver_rxv" localSheetId="7" hidden="1">1</definedName>
    <definedName name="solver_rxv" localSheetId="6" hidden="1">1</definedName>
    <definedName name="solver_rxv" localSheetId="8" hidden="1">1</definedName>
    <definedName name="solver_rxv" localSheetId="9" hidden="1">1</definedName>
    <definedName name="solver_rxv" localSheetId="5" hidden="1">1</definedName>
    <definedName name="solver_rxv1" localSheetId="3" hidden="1">1</definedName>
    <definedName name="solver_rxv1" localSheetId="4" hidden="1">1</definedName>
    <definedName name="solver_rxv1" localSheetId="7" hidden="1">1</definedName>
    <definedName name="solver_rxv1" localSheetId="6" hidden="1">1</definedName>
    <definedName name="solver_rxv1" localSheetId="8" hidden="1">1</definedName>
    <definedName name="solver_rxv1" localSheetId="9" hidden="1">1</definedName>
    <definedName name="solver_rxv2" localSheetId="3" hidden="1">1</definedName>
    <definedName name="solver_rxv3" localSheetId="4" hidden="1">1</definedName>
    <definedName name="solver_scl" localSheetId="3" hidden="1">2</definedName>
    <definedName name="solver_scl" localSheetId="4" hidden="1">1</definedName>
    <definedName name="solver_scl" localSheetId="7" hidden="1">1</definedName>
    <definedName name="solver_scl" localSheetId="5" hidden="1">1</definedName>
    <definedName name="solver_sho" localSheetId="3" hidden="1">2</definedName>
    <definedName name="solver_sho" localSheetId="4" hidden="1">2</definedName>
    <definedName name="solver_sho" localSheetId="7" hidden="1">2</definedName>
    <definedName name="solver_sho" localSheetId="5" hidden="1">2</definedName>
    <definedName name="solver_ssz" localSheetId="3" hidden="1">100</definedName>
    <definedName name="solver_ssz" localSheetId="4" hidden="1">100</definedName>
    <definedName name="solver_ssz" localSheetId="7" hidden="1">100</definedName>
    <definedName name="solver_ssz" localSheetId="5" hidden="1">100</definedName>
    <definedName name="solver_tim" localSheetId="3" hidden="1">100</definedName>
    <definedName name="solver_tim" localSheetId="4" hidden="1">2147483647</definedName>
    <definedName name="solver_tim" localSheetId="7" hidden="1">2147483647</definedName>
    <definedName name="solver_tim" localSheetId="5" hidden="1">2147483647</definedName>
    <definedName name="solver_tms" localSheetId="3" hidden="1">0</definedName>
    <definedName name="solver_tms" localSheetId="4" hidden="1">0</definedName>
    <definedName name="solver_tms" localSheetId="5" hidden="1">0</definedName>
    <definedName name="solver_tol" localSheetId="3" hidden="1">0</definedName>
    <definedName name="solver_tol" localSheetId="4" hidden="1">0.01</definedName>
    <definedName name="solver_tol" localSheetId="7" hidden="1">0.01</definedName>
    <definedName name="solver_tol" localSheetId="5" hidden="1">0.01</definedName>
    <definedName name="solver_typ" localSheetId="3" hidden="1">3</definedName>
    <definedName name="solver_typ" localSheetId="4" hidden="1">3</definedName>
    <definedName name="solver_typ" localSheetId="7" hidden="1">3</definedName>
    <definedName name="solver_typ" localSheetId="6" hidden="1">3</definedName>
    <definedName name="solver_typ" localSheetId="8" hidden="1">3</definedName>
    <definedName name="solver_typ" localSheetId="9" hidden="1">3</definedName>
    <definedName name="solver_typ" localSheetId="5" hidden="1">3</definedName>
    <definedName name="solver_val" localSheetId="3" hidden="1">10</definedName>
    <definedName name="solver_val" localSheetId="4" hidden="1">10</definedName>
    <definedName name="solver_val" localSheetId="7" hidden="1">30</definedName>
    <definedName name="solver_val" localSheetId="6" hidden="1">36</definedName>
    <definedName name="solver_val" localSheetId="8" hidden="1">36</definedName>
    <definedName name="solver_val" localSheetId="9" hidden="1">36</definedName>
    <definedName name="solver_val" localSheetId="5" hidden="1">10</definedName>
    <definedName name="solver_ver" localSheetId="3" hidden="1">3</definedName>
    <definedName name="solver_ver" localSheetId="4" hidden="1">3</definedName>
    <definedName name="solver_ver" localSheetId="7" hidden="1">3</definedName>
    <definedName name="solver_ver" localSheetId="5" hidden="1">3</definedName>
    <definedName name="t">[2]Terävoima!$D$6</definedName>
    <definedName name="μ">Äes_3!$D$41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3" i="14" l="1"/>
  <c r="C14" i="14"/>
  <c r="D14" i="14"/>
  <c r="F14" i="14"/>
  <c r="C19" i="14"/>
  <c r="D19" i="14"/>
  <c r="F18" i="14" s="1"/>
  <c r="U20" i="14"/>
  <c r="Q21" i="14"/>
  <c r="R21" i="14" s="1"/>
  <c r="U21" i="14"/>
  <c r="U22" i="14"/>
  <c r="U23" i="14"/>
  <c r="U24" i="14"/>
  <c r="U25" i="14"/>
  <c r="U26" i="14"/>
  <c r="U27" i="14"/>
  <c r="U28" i="14"/>
  <c r="U29" i="14"/>
  <c r="U30" i="14"/>
  <c r="U31" i="14"/>
  <c r="U32" i="14"/>
  <c r="U33" i="14"/>
  <c r="U34" i="14"/>
  <c r="U35" i="14"/>
  <c r="U36" i="14"/>
  <c r="U37" i="14"/>
  <c r="U38" i="14"/>
  <c r="U39" i="14"/>
  <c r="F19" i="14" l="1"/>
  <c r="Q22" i="14"/>
  <c r="D12" i="13"/>
  <c r="D13" i="13"/>
  <c r="D14" i="13"/>
  <c r="D15" i="13"/>
  <c r="F9" i="12"/>
  <c r="F16" i="12"/>
  <c r="F17" i="12" s="1"/>
  <c r="F25" i="12"/>
  <c r="F26" i="12"/>
  <c r="F27" i="12"/>
  <c r="F28" i="12" s="1"/>
  <c r="F39" i="12"/>
  <c r="F40" i="12"/>
  <c r="C45" i="12"/>
  <c r="E45" i="12"/>
  <c r="Q23" i="14" l="1"/>
  <c r="R22" i="14"/>
  <c r="C33" i="12"/>
  <c r="E33" i="12" s="1"/>
  <c r="E47" i="12" s="1"/>
  <c r="E48" i="12" s="1"/>
  <c r="F18" i="12"/>
  <c r="C47" i="12"/>
  <c r="C48" i="12" s="1"/>
  <c r="E9" i="11"/>
  <c r="I23" i="11"/>
  <c r="I24" i="11"/>
  <c r="K24" i="11" s="1"/>
  <c r="I41" i="11" s="1"/>
  <c r="C25" i="11"/>
  <c r="C26" i="11"/>
  <c r="E26" i="11"/>
  <c r="C36" i="11"/>
  <c r="C37" i="11"/>
  <c r="E37" i="11"/>
  <c r="C40" i="11"/>
  <c r="C41" i="11" s="1"/>
  <c r="R23" i="14" l="1"/>
  <c r="Q24" i="14"/>
  <c r="I40" i="11"/>
  <c r="F9" i="10"/>
  <c r="F15" i="10"/>
  <c r="F16" i="10" s="1"/>
  <c r="F17" i="10" s="1"/>
  <c r="F18" i="10"/>
  <c r="F20" i="10" s="1"/>
  <c r="K24" i="10"/>
  <c r="M24" i="10"/>
  <c r="K25" i="10"/>
  <c r="M25" i="10" s="1"/>
  <c r="D52" i="10" s="1"/>
  <c r="F26" i="10"/>
  <c r="F29" i="10" s="1"/>
  <c r="K26" i="10"/>
  <c r="D55" i="10" s="1"/>
  <c r="F27" i="10"/>
  <c r="F28" i="10" s="1"/>
  <c r="F37" i="10"/>
  <c r="F38" i="10"/>
  <c r="F39" i="10"/>
  <c r="F41" i="10" s="1"/>
  <c r="F40" i="10"/>
  <c r="D51" i="10"/>
  <c r="D53" i="10"/>
  <c r="D54" i="10"/>
  <c r="R24" i="14" l="1"/>
  <c r="Q25" i="14"/>
  <c r="F30" i="10"/>
  <c r="F31" i="10"/>
  <c r="C46" i="10"/>
  <c r="C55" i="10" s="1"/>
  <c r="F19" i="10"/>
  <c r="E45" i="10" s="1"/>
  <c r="C45" i="10"/>
  <c r="C51" i="10" s="1"/>
  <c r="C53" i="10" s="1"/>
  <c r="H9" i="9"/>
  <c r="H10" i="9"/>
  <c r="H19" i="9"/>
  <c r="H20" i="9"/>
  <c r="H28" i="9"/>
  <c r="H29" i="9"/>
  <c r="H30" i="9"/>
  <c r="H34" i="9"/>
  <c r="H35" i="9"/>
  <c r="H36" i="9" s="1"/>
  <c r="H46" i="9"/>
  <c r="H49" i="9"/>
  <c r="J49" i="9"/>
  <c r="H50" i="9"/>
  <c r="J50" i="9" s="1"/>
  <c r="H51" i="9" s="1"/>
  <c r="D60" i="9"/>
  <c r="D65" i="9"/>
  <c r="F65" i="9"/>
  <c r="E66" i="9"/>
  <c r="F66" i="9"/>
  <c r="H66" i="9"/>
  <c r="Q26" i="14" l="1"/>
  <c r="R25" i="14"/>
  <c r="C54" i="10"/>
  <c r="C52" i="10"/>
  <c r="H38" i="9"/>
  <c r="H47" i="9" s="1"/>
  <c r="G65" i="9"/>
  <c r="H37" i="9"/>
  <c r="G66" i="9" s="1"/>
  <c r="D66" i="9"/>
  <c r="I66" i="9" s="1"/>
  <c r="H7" i="8"/>
  <c r="H8" i="8"/>
  <c r="H9" i="8"/>
  <c r="H18" i="8"/>
  <c r="H19" i="8" s="1"/>
  <c r="D61" i="8" s="1"/>
  <c r="H27" i="8"/>
  <c r="H28" i="8"/>
  <c r="H29" i="8"/>
  <c r="H33" i="8"/>
  <c r="H34" i="8" s="1"/>
  <c r="H35" i="8"/>
  <c r="H36" i="8"/>
  <c r="H37" i="8"/>
  <c r="H39" i="8"/>
  <c r="D55" i="8" s="1"/>
  <c r="H42" i="8"/>
  <c r="J42" i="8"/>
  <c r="F48" i="8"/>
  <c r="G48" i="8"/>
  <c r="H48" i="8"/>
  <c r="I48" i="8"/>
  <c r="G49" i="8"/>
  <c r="H49" i="8"/>
  <c r="I49" i="8"/>
  <c r="G50" i="8"/>
  <c r="H50" i="8"/>
  <c r="I50" i="8"/>
  <c r="D60" i="8"/>
  <c r="F60" i="8"/>
  <c r="E61" i="8"/>
  <c r="F61" i="8"/>
  <c r="R26" i="14" l="1"/>
  <c r="Q27" i="14"/>
  <c r="C42" i="9"/>
  <c r="I65" i="9" s="1"/>
  <c r="D54" i="9"/>
  <c r="H48" i="9"/>
  <c r="J48" i="9" s="1"/>
  <c r="F60" i="9" s="1"/>
  <c r="H38" i="8"/>
  <c r="H40" i="8" s="1"/>
  <c r="H41" i="8" s="1"/>
  <c r="H8" i="7"/>
  <c r="H9" i="7"/>
  <c r="H18" i="7"/>
  <c r="H19" i="7"/>
  <c r="H27" i="7"/>
  <c r="H28" i="7" s="1"/>
  <c r="H29" i="7"/>
  <c r="H41" i="7" s="1"/>
  <c r="H48" i="7" s="1"/>
  <c r="H33" i="7"/>
  <c r="H34" i="7"/>
  <c r="H35" i="7"/>
  <c r="H36" i="7" s="1"/>
  <c r="G49" i="7" s="1"/>
  <c r="H37" i="7"/>
  <c r="H38" i="7"/>
  <c r="H39" i="7"/>
  <c r="D48" i="7"/>
  <c r="F48" i="7"/>
  <c r="G48" i="7"/>
  <c r="D49" i="7"/>
  <c r="E49" i="7"/>
  <c r="F49" i="7"/>
  <c r="H49" i="7" s="1"/>
  <c r="Q28" i="14" l="1"/>
  <c r="R27" i="14"/>
  <c r="J41" i="8"/>
  <c r="H43" i="8"/>
  <c r="H47" i="6"/>
  <c r="H41" i="6"/>
  <c r="H40" i="6"/>
  <c r="H42" i="6" s="1"/>
  <c r="H43" i="6" s="1"/>
  <c r="H39" i="6"/>
  <c r="D47" i="6" s="1"/>
  <c r="H38" i="6"/>
  <c r="H26" i="6"/>
  <c r="H27" i="6" s="1"/>
  <c r="H24" i="6"/>
  <c r="H23" i="6"/>
  <c r="H28" i="6" s="1"/>
  <c r="H16" i="6"/>
  <c r="H17" i="6" s="1"/>
  <c r="H15" i="6"/>
  <c r="H18" i="6" s="1"/>
  <c r="J18" i="6" s="1"/>
  <c r="H14" i="6"/>
  <c r="H19" i="6" s="1"/>
  <c r="H8" i="6"/>
  <c r="H7" i="6"/>
  <c r="H6" i="6"/>
  <c r="H9" i="6" s="1"/>
  <c r="J9" i="6" s="1"/>
  <c r="R28" i="14" l="1"/>
  <c r="Q29" i="14"/>
  <c r="H44" i="8"/>
  <c r="H45" i="8" s="1"/>
  <c r="F55" i="8"/>
  <c r="F49" i="6"/>
  <c r="D49" i="6"/>
  <c r="J28" i="6"/>
  <c r="H49" i="6" s="1"/>
  <c r="J27" i="6"/>
  <c r="D33" i="6"/>
  <c r="H48" i="6"/>
  <c r="H45" i="6" s="1"/>
  <c r="D31" i="6"/>
  <c r="H29" i="6" s="1"/>
  <c r="J17" i="6"/>
  <c r="D34" i="6"/>
  <c r="H25" i="6"/>
  <c r="J25" i="6" s="1"/>
  <c r="D30" i="6"/>
  <c r="D48" i="6"/>
  <c r="F48" i="6" s="1"/>
  <c r="J26" i="6"/>
  <c r="F47" i="6"/>
  <c r="H44" i="6"/>
  <c r="R29" i="14" l="1"/>
  <c r="Q30" i="14"/>
  <c r="G61" i="8"/>
  <c r="H61" i="8" s="1"/>
  <c r="H60" i="8" s="1"/>
  <c r="H46" i="8"/>
  <c r="G60" i="8" s="1"/>
  <c r="D35" i="6"/>
  <c r="N34" i="5"/>
  <c r="O34" i="5" s="1"/>
  <c r="M34" i="5"/>
  <c r="L34" i="5"/>
  <c r="G34" i="5"/>
  <c r="P34" i="5" s="1"/>
  <c r="O33" i="5"/>
  <c r="M33" i="5"/>
  <c r="L33" i="5"/>
  <c r="G33" i="5"/>
  <c r="P33" i="5" s="1"/>
  <c r="O32" i="5"/>
  <c r="M32" i="5"/>
  <c r="L32" i="5"/>
  <c r="G32" i="5"/>
  <c r="P32" i="5" s="1"/>
  <c r="P31" i="5"/>
  <c r="O31" i="5"/>
  <c r="Q31" i="5" s="1"/>
  <c r="R31" i="5" s="1"/>
  <c r="S31" i="5" s="1"/>
  <c r="T31" i="5" s="1"/>
  <c r="M31" i="5"/>
  <c r="L31" i="5"/>
  <c r="G31" i="5"/>
  <c r="P30" i="5"/>
  <c r="O30" i="5"/>
  <c r="Q30" i="5" s="1"/>
  <c r="R30" i="5" s="1"/>
  <c r="S30" i="5" s="1"/>
  <c r="T30" i="5" s="1"/>
  <c r="M30" i="5"/>
  <c r="L30" i="5"/>
  <c r="G30" i="5"/>
  <c r="P29" i="5"/>
  <c r="Q29" i="5" s="1"/>
  <c r="R29" i="5" s="1"/>
  <c r="S29" i="5" s="1"/>
  <c r="T29" i="5" s="1"/>
  <c r="O29" i="5"/>
  <c r="M29" i="5"/>
  <c r="L29" i="5"/>
  <c r="G29" i="5"/>
  <c r="Q28" i="5"/>
  <c r="R28" i="5" s="1"/>
  <c r="S28" i="5" s="1"/>
  <c r="T28" i="5" s="1"/>
  <c r="P28" i="5"/>
  <c r="O28" i="5"/>
  <c r="M28" i="5"/>
  <c r="L28" i="5"/>
  <c r="G28" i="5"/>
  <c r="M27" i="5"/>
  <c r="L27" i="5"/>
  <c r="N27" i="5" s="1"/>
  <c r="O27" i="5" s="1"/>
  <c r="G27" i="5"/>
  <c r="P27" i="5" s="1"/>
  <c r="P26" i="5"/>
  <c r="M26" i="5"/>
  <c r="N26" i="5" s="1"/>
  <c r="O26" i="5" s="1"/>
  <c r="Q26" i="5" s="1"/>
  <c r="R26" i="5" s="1"/>
  <c r="S26" i="5" s="1"/>
  <c r="T26" i="5" s="1"/>
  <c r="L26" i="5"/>
  <c r="G26" i="5"/>
  <c r="P25" i="5"/>
  <c r="N25" i="5"/>
  <c r="O25" i="5" s="1"/>
  <c r="Q25" i="5" s="1"/>
  <c r="R25" i="5" s="1"/>
  <c r="S25" i="5" s="1"/>
  <c r="T25" i="5" s="1"/>
  <c r="M25" i="5"/>
  <c r="L25" i="5"/>
  <c r="G25" i="5"/>
  <c r="N37" i="4"/>
  <c r="O37" i="4" s="1"/>
  <c r="I37" i="4"/>
  <c r="F37" i="4"/>
  <c r="I36" i="4"/>
  <c r="F36" i="4"/>
  <c r="I35" i="4"/>
  <c r="F35" i="4"/>
  <c r="N35" i="4" s="1"/>
  <c r="O35" i="4" s="1"/>
  <c r="N34" i="4"/>
  <c r="O34" i="4" s="1"/>
  <c r="I34" i="4"/>
  <c r="F34" i="4"/>
  <c r="N33" i="4"/>
  <c r="O33" i="4" s="1"/>
  <c r="I33" i="4"/>
  <c r="F33" i="4"/>
  <c r="I32" i="4"/>
  <c r="F32" i="4"/>
  <c r="N32" i="4" s="1"/>
  <c r="O32" i="4" s="1"/>
  <c r="I31" i="4"/>
  <c r="F31" i="4"/>
  <c r="N30" i="4"/>
  <c r="O30" i="4" s="1"/>
  <c r="I30" i="4"/>
  <c r="F30" i="4"/>
  <c r="N29" i="4"/>
  <c r="O29" i="4" s="1"/>
  <c r="I29" i="4"/>
  <c r="F29" i="4"/>
  <c r="I28" i="4"/>
  <c r="F28" i="4"/>
  <c r="I27" i="4"/>
  <c r="F27" i="4"/>
  <c r="N27" i="4" s="1"/>
  <c r="O27" i="4" s="1"/>
  <c r="N26" i="4"/>
  <c r="O26" i="4" s="1"/>
  <c r="I26" i="4"/>
  <c r="F26" i="4"/>
  <c r="C18" i="4" a="1"/>
  <c r="C18" i="4" s="1"/>
  <c r="C12" i="4"/>
  <c r="K30" i="3"/>
  <c r="L30" i="3" s="1"/>
  <c r="J30" i="3"/>
  <c r="G30" i="3"/>
  <c r="H30" i="3" s="1"/>
  <c r="I30" i="3" s="1"/>
  <c r="M30" i="3" s="1"/>
  <c r="N30" i="3" s="1"/>
  <c r="O30" i="3" s="1"/>
  <c r="K29" i="3"/>
  <c r="L29" i="3" s="1"/>
  <c r="J29" i="3"/>
  <c r="H29" i="3"/>
  <c r="I29" i="3" s="1"/>
  <c r="M29" i="3" s="1"/>
  <c r="N29" i="3" s="1"/>
  <c r="O29" i="3" s="1"/>
  <c r="G29" i="3"/>
  <c r="K28" i="3"/>
  <c r="L28" i="3" s="1"/>
  <c r="H28" i="3"/>
  <c r="I28" i="3" s="1"/>
  <c r="M28" i="3" s="1"/>
  <c r="G28" i="3"/>
  <c r="J28" i="3" s="1"/>
  <c r="L27" i="3"/>
  <c r="K27" i="3"/>
  <c r="J27" i="3"/>
  <c r="H27" i="3"/>
  <c r="G27" i="3"/>
  <c r="K26" i="3"/>
  <c r="L26" i="3" s="1"/>
  <c r="J26" i="3"/>
  <c r="G26" i="3"/>
  <c r="H26" i="3" s="1"/>
  <c r="I26" i="3" s="1"/>
  <c r="M26" i="3" s="1"/>
  <c r="L25" i="3"/>
  <c r="K25" i="3"/>
  <c r="G25" i="3"/>
  <c r="J25" i="3" s="1"/>
  <c r="L24" i="3"/>
  <c r="K24" i="3"/>
  <c r="G24" i="3"/>
  <c r="J24" i="3" s="1"/>
  <c r="L23" i="3"/>
  <c r="K23" i="3"/>
  <c r="J23" i="3"/>
  <c r="H23" i="3"/>
  <c r="I23" i="3" s="1"/>
  <c r="M23" i="3" s="1"/>
  <c r="N23" i="3" s="1"/>
  <c r="O23" i="3" s="1"/>
  <c r="G23" i="3"/>
  <c r="K22" i="3"/>
  <c r="L22" i="3" s="1"/>
  <c r="J22" i="3"/>
  <c r="G22" i="3"/>
  <c r="H22" i="3" s="1"/>
  <c r="I22" i="3" s="1"/>
  <c r="M22" i="3" s="1"/>
  <c r="N22" i="3" s="1"/>
  <c r="O22" i="3" s="1"/>
  <c r="C14" i="3"/>
  <c r="I27" i="3" s="1"/>
  <c r="M27" i="3" s="1"/>
  <c r="N27" i="3" s="1"/>
  <c r="O27" i="3" s="1"/>
  <c r="R30" i="14" l="1"/>
  <c r="Q31" i="14"/>
  <c r="Q33" i="5"/>
  <c r="R33" i="5" s="1"/>
  <c r="S33" i="5" s="1"/>
  <c r="T33" i="5" s="1"/>
  <c r="Q27" i="5"/>
  <c r="R27" i="5" s="1"/>
  <c r="S27" i="5" s="1"/>
  <c r="T27" i="5" s="1"/>
  <c r="Q32" i="5"/>
  <c r="R32" i="5" s="1"/>
  <c r="S32" i="5" s="1"/>
  <c r="T32" i="5" s="1"/>
  <c r="Q34" i="5"/>
  <c r="R34" i="5" s="1"/>
  <c r="S34" i="5" s="1"/>
  <c r="T34" i="5" s="1"/>
  <c r="J26" i="4"/>
  <c r="J33" i="4"/>
  <c r="M33" i="4" s="1"/>
  <c r="J30" i="4"/>
  <c r="K30" i="4" s="1"/>
  <c r="L30" i="4" s="1"/>
  <c r="P30" i="4" s="1"/>
  <c r="Q30" i="4" s="1"/>
  <c r="R30" i="4" s="1"/>
  <c r="J37" i="4"/>
  <c r="J29" i="4"/>
  <c r="J34" i="4"/>
  <c r="K33" i="4"/>
  <c r="L33" i="4" s="1"/>
  <c r="P33" i="4" s="1"/>
  <c r="Q33" i="4" s="1"/>
  <c r="R33" i="4" s="1"/>
  <c r="J36" i="4"/>
  <c r="M36" i="4" s="1"/>
  <c r="M29" i="4"/>
  <c r="M37" i="4"/>
  <c r="M35" i="4"/>
  <c r="K36" i="4"/>
  <c r="L36" i="4" s="1"/>
  <c r="P36" i="4" s="1"/>
  <c r="Q36" i="4" s="1"/>
  <c r="R36" i="4" s="1"/>
  <c r="J28" i="4"/>
  <c r="M28" i="4" s="1"/>
  <c r="J31" i="4"/>
  <c r="N28" i="4"/>
  <c r="O28" i="4" s="1"/>
  <c r="K29" i="4"/>
  <c r="L29" i="4" s="1"/>
  <c r="P29" i="4" s="1"/>
  <c r="Q29" i="4" s="1"/>
  <c r="R29" i="4" s="1"/>
  <c r="J32" i="4"/>
  <c r="M32" i="4" s="1"/>
  <c r="N36" i="4"/>
  <c r="O36" i="4" s="1"/>
  <c r="K37" i="4"/>
  <c r="L37" i="4" s="1"/>
  <c r="P37" i="4" s="1"/>
  <c r="Q37" i="4" s="1"/>
  <c r="R37" i="4" s="1"/>
  <c r="J27" i="4"/>
  <c r="K27" i="4" s="1"/>
  <c r="L27" i="4" s="1"/>
  <c r="P27" i="4" s="1"/>
  <c r="Q27" i="4" s="1"/>
  <c r="R27" i="4" s="1"/>
  <c r="N31" i="4"/>
  <c r="O31" i="4" s="1"/>
  <c r="J35" i="4"/>
  <c r="K35" i="4" s="1"/>
  <c r="L35" i="4" s="1"/>
  <c r="P35" i="4" s="1"/>
  <c r="Q35" i="4" s="1"/>
  <c r="R35" i="4" s="1"/>
  <c r="N26" i="3"/>
  <c r="O26" i="3" s="1"/>
  <c r="N28" i="3"/>
  <c r="O28" i="3" s="1"/>
  <c r="H25" i="3"/>
  <c r="I25" i="3" s="1"/>
  <c r="M25" i="3" s="1"/>
  <c r="N25" i="3" s="1"/>
  <c r="O25" i="3" s="1"/>
  <c r="H24" i="3"/>
  <c r="I24" i="3" s="1"/>
  <c r="M24" i="3" s="1"/>
  <c r="N24" i="3" s="1"/>
  <c r="O24" i="3" s="1"/>
  <c r="R31" i="14" l="1"/>
  <c r="Q32" i="14"/>
  <c r="M34" i="4"/>
  <c r="K34" i="4"/>
  <c r="L34" i="4" s="1"/>
  <c r="P34" i="4" s="1"/>
  <c r="Q34" i="4" s="1"/>
  <c r="R34" i="4" s="1"/>
  <c r="M27" i="4"/>
  <c r="M30" i="4"/>
  <c r="K32" i="4"/>
  <c r="L32" i="4" s="1"/>
  <c r="P32" i="4" s="1"/>
  <c r="Q32" i="4" s="1"/>
  <c r="R32" i="4" s="1"/>
  <c r="M31" i="4"/>
  <c r="K31" i="4"/>
  <c r="L31" i="4" s="1"/>
  <c r="P31" i="4" s="1"/>
  <c r="Q31" i="4" s="1"/>
  <c r="R31" i="4" s="1"/>
  <c r="M26" i="4"/>
  <c r="K26" i="4"/>
  <c r="L26" i="4" s="1"/>
  <c r="P26" i="4" s="1"/>
  <c r="Q26" i="4" s="1"/>
  <c r="R26" i="4" s="1"/>
  <c r="K28" i="4"/>
  <c r="L28" i="4" s="1"/>
  <c r="P28" i="4" s="1"/>
  <c r="Q28" i="4" s="1"/>
  <c r="R28" i="4" s="1"/>
  <c r="R32" i="14" l="1"/>
  <c r="Q33" i="14"/>
  <c r="D44" i="1"/>
  <c r="M17" i="1"/>
  <c r="F25" i="1"/>
  <c r="N29" i="1"/>
  <c r="Q34" i="14" l="1"/>
  <c r="R33" i="14"/>
  <c r="M18" i="1"/>
  <c r="P29" i="1"/>
  <c r="F27" i="1"/>
  <c r="F20" i="1"/>
  <c r="F24" i="1"/>
  <c r="F23" i="1"/>
  <c r="F22" i="1"/>
  <c r="F17" i="1"/>
  <c r="R34" i="14" l="1"/>
  <c r="Q35" i="14"/>
  <c r="M20" i="1"/>
  <c r="M24" i="1"/>
  <c r="M23" i="1"/>
  <c r="M25" i="1"/>
  <c r="M19" i="1"/>
  <c r="Q36" i="14" l="1"/>
  <c r="R35" i="14"/>
  <c r="M21" i="1"/>
  <c r="M22" i="1" s="1"/>
  <c r="M26" i="1" s="1"/>
  <c r="Q37" i="14" l="1"/>
  <c r="R36" i="14"/>
  <c r="M27" i="1"/>
  <c r="D33" i="1" s="1"/>
  <c r="D37" i="1" s="1"/>
  <c r="D38" i="1" s="1"/>
  <c r="D34" i="1"/>
  <c r="D36" i="1" s="1"/>
  <c r="R37" i="14" l="1"/>
  <c r="Q38" i="14"/>
  <c r="D39" i="1"/>
  <c r="R38" i="14" l="1"/>
  <c r="Q39" i="14"/>
  <c r="D47" i="1"/>
  <c r="D45" i="1"/>
  <c r="D46" i="1" s="1"/>
  <c r="R39" i="14" l="1"/>
  <c r="Q40" i="14"/>
  <c r="R40" i="14" l="1"/>
  <c r="Q41" i="14"/>
  <c r="Q42" i="14" l="1"/>
  <c r="R41" i="14"/>
  <c r="Q43" i="14" l="1"/>
  <c r="R42" i="14"/>
  <c r="R43" i="14" l="1"/>
  <c r="Q44" i="14"/>
  <c r="R44" i="14" l="1"/>
  <c r="Q45" i="14"/>
  <c r="R45" i="14" l="1"/>
  <c r="Q46" i="14"/>
  <c r="Q47" i="14" l="1"/>
  <c r="R46" i="14"/>
  <c r="R47" i="14" l="1"/>
  <c r="Q48" i="14"/>
  <c r="R48" i="14" l="1"/>
  <c r="Q49" i="14"/>
  <c r="Q50" i="14" l="1"/>
  <c r="R50" i="14" s="1"/>
  <c r="R49"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Jukka Ahokas</author>
  </authors>
  <commentList>
    <comment ref="C35" authorId="0" shapeId="0" xr:uid="{E7DF5946-909B-4B6C-A079-891AE80C2089}">
      <text>
        <r>
          <rPr>
            <b/>
            <sz val="9"/>
            <color indexed="81"/>
            <rFont val="Tahoma"/>
            <family val="2"/>
          </rPr>
          <t>Jukka Ahokas:</t>
        </r>
        <r>
          <rPr>
            <sz val="9"/>
            <color indexed="81"/>
            <rFont val="Tahoma"/>
            <family val="2"/>
          </rPr>
          <t xml:space="preserve">
Itsekulkevaa korjuukonetta käytettäessä Traktorin luotettavuus = 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Jukka Ahokas</author>
  </authors>
  <commentList>
    <comment ref="C23" authorId="0" shapeId="0" xr:uid="{FD38CC7B-B3FC-4850-881B-C4FFB7562D13}">
      <text>
        <r>
          <rPr>
            <b/>
            <sz val="9"/>
            <color indexed="81"/>
            <rFont val="Tahoma"/>
            <family val="2"/>
          </rPr>
          <t>Jukka Ahokas:</t>
        </r>
        <r>
          <rPr>
            <sz val="9"/>
            <color indexed="81"/>
            <rFont val="Tahoma"/>
            <family val="2"/>
          </rPr>
          <t xml:space="preserve">
Valinta sille onko karhotusaika mukana esikuivausajassa vai omana aikana</t>
        </r>
      </text>
    </comment>
    <comment ref="C34" authorId="0" shapeId="0" xr:uid="{D87EEC6C-59CA-4FF1-A2FA-EDD984037025}">
      <text>
        <r>
          <rPr>
            <b/>
            <sz val="9"/>
            <color indexed="81"/>
            <rFont val="Tahoma"/>
            <family val="2"/>
          </rPr>
          <t>Jukka Ahokas:</t>
        </r>
        <r>
          <rPr>
            <sz val="9"/>
            <color indexed="81"/>
            <rFont val="Tahoma"/>
            <family val="2"/>
          </rPr>
          <t xml:space="preserve">
Itsekulkevaa korjuukonetta käytettäessä Traktorin luotettavuus = 1</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Jukka Ahokas</author>
  </authors>
  <commentList>
    <comment ref="C23" authorId="0" shapeId="0" xr:uid="{F9E9A5DF-3ECA-4A69-BFD3-C2C6D79924C7}">
      <text>
        <r>
          <rPr>
            <b/>
            <sz val="9"/>
            <color indexed="81"/>
            <rFont val="Tahoma"/>
            <family val="2"/>
          </rPr>
          <t>Jukka Ahokas:</t>
        </r>
        <r>
          <rPr>
            <sz val="9"/>
            <color indexed="81"/>
            <rFont val="Tahoma"/>
            <family val="2"/>
          </rPr>
          <t xml:space="preserve">
Valinta sille onko karhotusaika mukana esikuivausajassa vai omana aikana</t>
        </r>
      </text>
    </comment>
    <comment ref="C34" authorId="0" shapeId="0" xr:uid="{BDA295E1-EE25-4FF9-9E36-868F218B1E7B}">
      <text>
        <r>
          <rPr>
            <b/>
            <sz val="9"/>
            <color indexed="81"/>
            <rFont val="Tahoma"/>
            <family val="2"/>
          </rPr>
          <t>Jukka Ahokas:</t>
        </r>
        <r>
          <rPr>
            <sz val="9"/>
            <color indexed="81"/>
            <rFont val="Tahoma"/>
            <family val="2"/>
          </rPr>
          <t xml:space="preserve">
Itsekulkevaa korjuukonetta käytettäessä Traktorin luotettavuus = 1</t>
        </r>
      </text>
    </comment>
    <comment ref="G34" authorId="0" shapeId="0" xr:uid="{331681A3-56EB-4AFF-9595-504D135F6D9D}">
      <text>
        <r>
          <rPr>
            <b/>
            <sz val="9"/>
            <color indexed="81"/>
            <rFont val="Tahoma"/>
            <family val="2"/>
          </rPr>
          <t>Jukka Ahokas:</t>
        </r>
        <r>
          <rPr>
            <sz val="9"/>
            <color indexed="81"/>
            <rFont val="Tahoma"/>
            <family val="2"/>
          </rPr>
          <t xml:space="preserve">
paalaimen työleveys on karhoituksen työleveys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Agrotekno</author>
    <author>Jukka Ahokas</author>
  </authors>
  <commentList>
    <comment ref="D27" authorId="0" shapeId="0" xr:uid="{AA88CA14-CA97-4621-8893-4BBF09FB58B5}">
      <text>
        <r>
          <rPr>
            <b/>
            <sz val="9"/>
            <color indexed="81"/>
            <rFont val="Tahoma"/>
            <family val="2"/>
          </rPr>
          <t>Agrotekno:</t>
        </r>
        <r>
          <rPr>
            <sz val="9"/>
            <color indexed="81"/>
            <rFont val="Tahoma"/>
            <family val="2"/>
          </rPr>
          <t xml:space="preserve">
Tässä on vain kippausaika. Kuivurin täyttö tulee vastaa muutaman kuorman jälkeen, jolloin tarvitaan pidempi aika</t>
        </r>
      </text>
    </comment>
    <comment ref="G45" authorId="1" shapeId="0" xr:uid="{A156C513-B497-494E-AD1A-4AFA9A2456BF}">
      <text>
        <r>
          <rPr>
            <b/>
            <sz val="9"/>
            <color indexed="81"/>
            <rFont val="Tahoma"/>
            <family val="2"/>
          </rPr>
          <t>Jukka Ahokas:</t>
        </r>
        <r>
          <rPr>
            <sz val="9"/>
            <color indexed="81"/>
            <rFont val="Tahoma"/>
            <family val="2"/>
          </rPr>
          <t xml:space="preserve">
Ensimmäinen kuivauserä sitoo kuivurin niin pitkäksi aikaa, että tarvitaan puskurivarasto, perävaunu, kaatosuppilo, tuuletettu siilo tms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Jukka Ahokas</author>
  </authors>
  <commentList>
    <comment ref="C15" authorId="0" shapeId="0" xr:uid="{86AA28AA-0C1A-48AD-9B85-6533B402663D}">
      <text>
        <r>
          <rPr>
            <b/>
            <sz val="9"/>
            <color indexed="81"/>
            <rFont val="Tahoma"/>
            <family val="2"/>
          </rPr>
          <t>Jukka Ahokas:</t>
        </r>
        <r>
          <rPr>
            <sz val="9"/>
            <color indexed="81"/>
            <rFont val="Tahoma"/>
            <family val="2"/>
          </rPr>
          <t xml:space="preserve">
Tilastokeskus päivittää lukemia säännöllisesti</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Jukka Ahokas</author>
  </authors>
  <commentList>
    <comment ref="A11" authorId="0" shapeId="0" xr:uid="{0F54A800-0D1F-4452-8BF6-0F243BB1FE8F}">
      <text>
        <r>
          <rPr>
            <b/>
            <sz val="9"/>
            <color indexed="81"/>
            <rFont val="Tahoma"/>
            <family val="2"/>
          </rPr>
          <t>Jukka Ahokas:</t>
        </r>
        <r>
          <rPr>
            <sz val="9"/>
            <color indexed="81"/>
            <rFont val="Tahoma"/>
            <family val="2"/>
          </rPr>
          <t xml:space="preserve">
Tässä on peltomaiden arvoja. Valitse tämän perusteella maan arvot laskuissa.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<sst xmlns="http://schemas.openxmlformats.org/spreadsheetml/2006/main" count="995" uniqueCount="446">
  <si>
    <t>sis. kitkakulma</t>
  </si>
  <si>
    <t>φ</t>
  </si>
  <si>
    <t>°</t>
  </si>
  <si>
    <t>rad</t>
  </si>
  <si>
    <t>työsyvyys</t>
  </si>
  <si>
    <t>t</t>
  </si>
  <si>
    <t>cm</t>
  </si>
  <si>
    <t>m</t>
  </si>
  <si>
    <t>terän leveys</t>
  </si>
  <si>
    <t>b</t>
  </si>
  <si>
    <t>terän pituus</t>
  </si>
  <si>
    <t>Lo</t>
  </si>
  <si>
    <t>kg/m3</t>
  </si>
  <si>
    <t>koheesio</t>
  </si>
  <si>
    <t>c</t>
  </si>
  <si>
    <t>kPa</t>
  </si>
  <si>
    <t>Pa</t>
  </si>
  <si>
    <t>maa-terä kitka</t>
  </si>
  <si>
    <t>μ</t>
  </si>
  <si>
    <t>ajonopeus</t>
  </si>
  <si>
    <t>v</t>
  </si>
  <si>
    <t>km/h</t>
  </si>
  <si>
    <t>m/s</t>
  </si>
  <si>
    <t>Maan leikkauskulma</t>
  </si>
  <si>
    <t>γ</t>
  </si>
  <si>
    <r>
      <t xml:space="preserve">Kulma </t>
    </r>
    <r>
      <rPr>
        <u/>
        <sz val="10"/>
        <rFont val="Calibri"/>
        <family val="2"/>
      </rPr>
      <t>α  °</t>
    </r>
  </si>
  <si>
    <r>
      <rPr>
        <sz val="10"/>
        <rFont val="Calibri"/>
        <family val="2"/>
      </rPr>
      <t>α</t>
    </r>
    <r>
      <rPr>
        <sz val="10"/>
        <rFont val="Arial"/>
        <family val="2"/>
      </rPr>
      <t xml:space="preserve"> rad</t>
    </r>
  </si>
  <si>
    <t>te</t>
  </si>
  <si>
    <t>L1</t>
  </si>
  <si>
    <t>L.2</t>
  </si>
  <si>
    <t xml:space="preserve">m </t>
  </si>
  <si>
    <t>Z</t>
  </si>
  <si>
    <t>Fc</t>
  </si>
  <si>
    <t>Fa</t>
  </si>
  <si>
    <t>Fx</t>
  </si>
  <si>
    <t>Fy</t>
  </si>
  <si>
    <t>Maan arvot</t>
  </si>
  <si>
    <t>Terän arvot</t>
  </si>
  <si>
    <t>teräkulma</t>
  </si>
  <si>
    <t>α</t>
  </si>
  <si>
    <t>Äkeen arvot</t>
  </si>
  <si>
    <t>terämäärä</t>
  </si>
  <si>
    <t>n</t>
  </si>
  <si>
    <t>kpl</t>
  </si>
  <si>
    <t>teräväli</t>
  </si>
  <si>
    <t>s</t>
  </si>
  <si>
    <t>Terävoimat</t>
  </si>
  <si>
    <t>pystyvoima</t>
  </si>
  <si>
    <r>
      <t>F</t>
    </r>
    <r>
      <rPr>
        <vertAlign val="subscript"/>
        <sz val="10"/>
        <rFont val="Arial"/>
        <family val="2"/>
      </rPr>
      <t>y</t>
    </r>
  </si>
  <si>
    <t>N</t>
  </si>
  <si>
    <t>vaakavoima</t>
  </si>
  <si>
    <r>
      <t>F</t>
    </r>
    <r>
      <rPr>
        <vertAlign val="subscript"/>
        <sz val="10"/>
        <rFont val="Arial"/>
        <family val="2"/>
      </rPr>
      <t>x</t>
    </r>
  </si>
  <si>
    <t>tukielinten vierimisvastuskerroin</t>
  </si>
  <si>
    <t>f</t>
  </si>
  <si>
    <t>äkeen paino</t>
  </si>
  <si>
    <r>
      <t>m</t>
    </r>
    <r>
      <rPr>
        <vertAlign val="subscript"/>
        <sz val="10"/>
        <rFont val="Arial"/>
        <family val="2"/>
      </rPr>
      <t>äes</t>
    </r>
  </si>
  <si>
    <t>kg</t>
  </si>
  <si>
    <t>Äkeen voimat</t>
  </si>
  <si>
    <t>kN</t>
  </si>
  <si>
    <t>Äkeen kokonaisvastusvoima</t>
  </si>
  <si>
    <t>Traktorin koko</t>
  </si>
  <si>
    <t>Äkeen vetotehon tarve</t>
  </si>
  <si>
    <t>kW</t>
  </si>
  <si>
    <t>Moottoriteho/vetoteho kerroin</t>
  </si>
  <si>
    <t>Tarvittava moottoriteho</t>
  </si>
  <si>
    <t>Tarvittava traktorin paino</t>
  </si>
  <si>
    <t>Traktorin kehävoimakerroin</t>
  </si>
  <si>
    <t>Traktorin vierimisvastuskerroin</t>
  </si>
  <si>
    <t>Traktorin pyörien luisto</t>
  </si>
  <si>
    <t>r</t>
  </si>
  <si>
    <t>Maalaji</t>
  </si>
  <si>
    <t>Kostea hiesusavi</t>
  </si>
  <si>
    <t>40 - 60</t>
  </si>
  <si>
    <t>30 - 20</t>
  </si>
  <si>
    <t>Normaali hiesusavi</t>
  </si>
  <si>
    <t>60 -90</t>
  </si>
  <si>
    <t>0,20 - 0,35</t>
  </si>
  <si>
    <t>Kuiva hiesusavi</t>
  </si>
  <si>
    <t>100 - 190</t>
  </si>
  <si>
    <t>30 -15</t>
  </si>
  <si>
    <t>0,30 - 0,45</t>
  </si>
  <si>
    <t>Koheesio c
kPa</t>
  </si>
  <si>
    <r>
      <t xml:space="preserve">Kitkakulma </t>
    </r>
    <r>
      <rPr>
        <sz val="10"/>
        <rFont val="Calibri"/>
        <family val="2"/>
      </rPr>
      <t>φ</t>
    </r>
    <r>
      <rPr>
        <sz val="10"/>
        <rFont val="Arial"/>
        <family val="2"/>
      </rPr>
      <t xml:space="preserve"> </t>
    </r>
    <r>
      <rPr>
        <sz val="10"/>
        <rFont val="Calibri"/>
        <family val="2"/>
      </rPr>
      <t>°</t>
    </r>
  </si>
  <si>
    <t xml:space="preserve">Maan ja terän välinen
kitkakerroin </t>
  </si>
  <si>
    <r>
      <t>Tilavuuspaino
kg/m</t>
    </r>
    <r>
      <rPr>
        <vertAlign val="superscript"/>
        <sz val="10"/>
        <rFont val="Arial"/>
        <family val="2"/>
      </rPr>
      <t>3</t>
    </r>
  </si>
  <si>
    <t>Peltomaiden arvoja</t>
  </si>
  <si>
    <t>tilavuuspaino</t>
  </si>
  <si>
    <t>0,10 - 0,25</t>
  </si>
  <si>
    <r>
      <t>Kyntö, raskas maa</t>
    </r>
    <r>
      <rPr>
        <vertAlign val="superscript"/>
        <sz val="11"/>
        <color theme="1"/>
        <rFont val="Calibri"/>
        <family val="2"/>
        <scheme val="minor"/>
      </rPr>
      <t>1</t>
    </r>
  </si>
  <si>
    <r>
      <t>Kyntö, keskiraskas maa</t>
    </r>
    <r>
      <rPr>
        <vertAlign val="superscript"/>
        <sz val="11"/>
        <color theme="1"/>
        <rFont val="Calibri"/>
        <family val="2"/>
        <scheme val="minor"/>
      </rPr>
      <t>1</t>
    </r>
  </si>
  <si>
    <r>
      <t>Kyntö, kevyt maa</t>
    </r>
    <r>
      <rPr>
        <vertAlign val="superscript"/>
        <sz val="11"/>
        <color theme="1"/>
        <rFont val="Calibri"/>
        <family val="2"/>
        <scheme val="minor"/>
      </rPr>
      <t>1</t>
    </r>
  </si>
  <si>
    <t xml:space="preserve"> Polttoaineen kulutus
l/ha</t>
  </si>
  <si>
    <t xml:space="preserve"> Polttoaineen kulutus
l/h</t>
  </si>
  <si>
    <t>Todellinen työsaavutus ha/h</t>
  </si>
  <si>
    <t>Teoreettinen työsaavutus
 ha/h</t>
  </si>
  <si>
    <t>Traktorin painon tarve
kg</t>
  </si>
  <si>
    <t>Moottoritehon tarve
 kW</t>
  </si>
  <si>
    <t>Vetotehon tarve 
kW</t>
  </si>
  <si>
    <t>Vetovastus 
kN</t>
  </si>
  <si>
    <t>Ajonopeus 
km/h</t>
  </si>
  <si>
    <t>Työsyvyys 
cm</t>
  </si>
  <si>
    <t>Työleveys 
m</t>
  </si>
  <si>
    <r>
      <t>Ominaisvastus 
kN/m</t>
    </r>
    <r>
      <rPr>
        <vertAlign val="superscript"/>
        <sz val="11"/>
        <color theme="1"/>
        <rFont val="Calibri"/>
        <family val="2"/>
        <scheme val="minor"/>
      </rPr>
      <t>2</t>
    </r>
  </si>
  <si>
    <t>Muokkausväline</t>
  </si>
  <si>
    <r>
      <t xml:space="preserve">Työhyötysuhde </t>
    </r>
    <r>
      <rPr>
        <sz val="11"/>
        <color theme="1"/>
        <rFont val="Arial"/>
        <family val="2"/>
      </rPr>
      <t>η</t>
    </r>
  </si>
  <si>
    <t>kg CO2/l</t>
  </si>
  <si>
    <t>Dieselmoottorin päästökerroinin kg CO2/l</t>
  </si>
  <si>
    <t>g/l</t>
  </si>
  <si>
    <t>Polttoaineen tiheys g/l</t>
  </si>
  <si>
    <t>g/kWh</t>
  </si>
  <si>
    <t>Polttoaineen ominaiskulutus g/kWh</t>
  </si>
  <si>
    <t>Luisto</t>
  </si>
  <si>
    <t>Vierimisvastuskerroin f</t>
  </si>
  <si>
    <r>
      <t xml:space="preserve">Kehävoimakerroin </t>
    </r>
    <r>
      <rPr>
        <sz val="11"/>
        <color theme="1"/>
        <rFont val="Arial"/>
        <family val="2"/>
      </rPr>
      <t>μ</t>
    </r>
  </si>
  <si>
    <t>Perustiedot</t>
  </si>
  <si>
    <r>
      <t>Hiilidioksidi-ekvivalentti-
päästö
kg CO</t>
    </r>
    <r>
      <rPr>
        <vertAlign val="subscript"/>
        <sz val="11"/>
        <color theme="1"/>
        <rFont val="Calibri"/>
        <family val="2"/>
        <scheme val="minor"/>
      </rPr>
      <t>2e</t>
    </r>
    <r>
      <rPr>
        <sz val="10"/>
        <rFont val="Arial"/>
        <family val="2"/>
      </rPr>
      <t>/ha</t>
    </r>
  </si>
  <si>
    <t>Tässä saadaan karkea arvio traktorin koolle, polttoaineen kulutukselle ja päästöille muokkaustöissä. Maan vastus vaihtelee suuresti sen kosteuden muuttuessa, samoin se vaikuttaa traktorin vetokykyyn. Tulokset ovat siten suuntaa antavia. Traktorin arvojen laskennassa oletetaan tasamaa ja normaali pellon pito. Rinnepelloilla tarvitaan suurempi teho, jos sama ajonopeus halutaan pitää. Ajonopeus vaikuttaa myös työkoneen vastukseen. Jos käytät muuta ajonopeutta kuin koneelle annettua nopeutta, tuloksen virhe suurenee. Laskuissa ei ole mukana lautasäkeen mahdollisten tukielinten vastuksia.  Taulukon alkuperäiset luvut on hatusta otettuja, käytä laskuissa omia lukuja.</t>
  </si>
  <si>
    <t>Muokkausvälineiden tyypillisiä ominaisvastuksia</t>
  </si>
  <si>
    <r>
      <t>Lautasäes, perusmuokkaus, kevyt maa</t>
    </r>
    <r>
      <rPr>
        <vertAlign val="superscript"/>
        <sz val="11"/>
        <color theme="1"/>
        <rFont val="Calibri"/>
        <family val="2"/>
        <scheme val="minor"/>
      </rPr>
      <t>2</t>
    </r>
  </si>
  <si>
    <r>
      <t>Lautasäes, perusmuokkaus, keskiraskas maa</t>
    </r>
    <r>
      <rPr>
        <vertAlign val="superscript"/>
        <sz val="11"/>
        <color theme="1"/>
        <rFont val="Calibri"/>
        <family val="2"/>
        <scheme val="minor"/>
      </rPr>
      <t>2</t>
    </r>
  </si>
  <si>
    <r>
      <t>Lautasäes, perusmuokkaus, raskas maa</t>
    </r>
    <r>
      <rPr>
        <vertAlign val="superscript"/>
        <sz val="11"/>
        <color theme="1"/>
        <rFont val="Calibri"/>
        <family val="2"/>
        <scheme val="minor"/>
      </rPr>
      <t>2</t>
    </r>
  </si>
  <si>
    <r>
      <t>Lautasäes, kylvömuokkaus, kevyt maa</t>
    </r>
    <r>
      <rPr>
        <vertAlign val="superscript"/>
        <sz val="11"/>
        <color theme="1"/>
        <rFont val="Calibri"/>
        <family val="2"/>
        <scheme val="minor"/>
      </rPr>
      <t>2</t>
    </r>
  </si>
  <si>
    <r>
      <t>Lautasäes, kylvömuokkaus, keskiraskas maa</t>
    </r>
    <r>
      <rPr>
        <vertAlign val="superscript"/>
        <sz val="11"/>
        <color theme="1"/>
        <rFont val="Calibri"/>
        <family val="2"/>
        <scheme val="minor"/>
      </rPr>
      <t>2</t>
    </r>
  </si>
  <si>
    <r>
      <t>Lautasäes, kylvömuokkaus, raskas maa</t>
    </r>
    <r>
      <rPr>
        <vertAlign val="superscript"/>
        <sz val="11"/>
        <color theme="1"/>
        <rFont val="Calibri"/>
        <family val="2"/>
        <scheme val="minor"/>
      </rPr>
      <t>2</t>
    </r>
  </si>
  <si>
    <r>
      <t>1</t>
    </r>
    <r>
      <rPr>
        <sz val="8"/>
        <color theme="1"/>
        <rFont val="Calibri"/>
        <family val="2"/>
        <scheme val="minor"/>
      </rPr>
      <t xml:space="preserve"> Nopeus 5 km/h. </t>
    </r>
    <r>
      <rPr>
        <vertAlign val="superscript"/>
        <sz val="8"/>
        <color theme="1"/>
        <rFont val="Calibri"/>
        <family val="2"/>
        <scheme val="minor"/>
      </rPr>
      <t>2</t>
    </r>
    <r>
      <rPr>
        <sz val="8"/>
        <color theme="1"/>
        <rFont val="Calibri"/>
        <family val="2"/>
        <scheme val="minor"/>
      </rPr>
      <t xml:space="preserve"> Nopeus 9 km/h</t>
    </r>
  </si>
  <si>
    <t>Äkeen varustelu</t>
  </si>
  <si>
    <t>Etulata ja varpajyrä</t>
  </si>
  <si>
    <t>kN/m</t>
  </si>
  <si>
    <t>Terien tyypillisiä ominaisvastuksia</t>
  </si>
  <si>
    <r>
      <t>Ominaisvastus 
kN/(m</t>
    </r>
    <r>
      <rPr>
        <sz val="11"/>
        <color theme="1"/>
        <rFont val="Calibri"/>
        <family val="2"/>
      </rPr>
      <t>·terä)</t>
    </r>
  </si>
  <si>
    <t>Terämäärä
kpl</t>
  </si>
  <si>
    <t>Teräväli
cm</t>
  </si>
  <si>
    <t>Työleveys
m</t>
  </si>
  <si>
    <t>Terien vetovastus 
kN</t>
  </si>
  <si>
    <t>Äkeen varusteiden vastus
kN</t>
  </si>
  <si>
    <r>
      <t>Kultivaattori, perusmuokkaus, kevyt maa</t>
    </r>
    <r>
      <rPr>
        <vertAlign val="superscript"/>
        <sz val="11"/>
        <color theme="1"/>
        <rFont val="Calibri"/>
        <family val="2"/>
        <scheme val="minor"/>
      </rPr>
      <t>1</t>
    </r>
  </si>
  <si>
    <r>
      <t>Kultivaattori, perusmuokkaus, keskiraskas maa</t>
    </r>
    <r>
      <rPr>
        <vertAlign val="superscript"/>
        <sz val="11"/>
        <color theme="1"/>
        <rFont val="Calibri"/>
        <family val="2"/>
        <scheme val="minor"/>
      </rPr>
      <t>1</t>
    </r>
  </si>
  <si>
    <r>
      <t>Kultivaattori, perusmuokkaus, raskas maa</t>
    </r>
    <r>
      <rPr>
        <vertAlign val="superscript"/>
        <sz val="11"/>
        <color theme="1"/>
        <rFont val="Calibri"/>
        <family val="2"/>
        <scheme val="minor"/>
      </rPr>
      <t>1</t>
    </r>
  </si>
  <si>
    <r>
      <t>Kultivaattori, kylvömuokkaus, kevyt maa</t>
    </r>
    <r>
      <rPr>
        <vertAlign val="superscript"/>
        <sz val="11"/>
        <color theme="1"/>
        <rFont val="Calibri"/>
        <family val="2"/>
        <scheme val="minor"/>
      </rPr>
      <t>1</t>
    </r>
  </si>
  <si>
    <r>
      <t>Kultivaattori, kylvömuokkaus, keskiraskas maa</t>
    </r>
    <r>
      <rPr>
        <vertAlign val="superscript"/>
        <sz val="11"/>
        <color theme="1"/>
        <rFont val="Calibri"/>
        <family val="2"/>
        <scheme val="minor"/>
      </rPr>
      <t>1</t>
    </r>
  </si>
  <si>
    <r>
      <t>Kultivaattori, kylvömuokkaus, raskas maa</t>
    </r>
    <r>
      <rPr>
        <vertAlign val="superscript"/>
        <sz val="11"/>
        <color theme="1"/>
        <rFont val="Calibri"/>
        <family val="2"/>
        <scheme val="minor"/>
      </rPr>
      <t>1</t>
    </r>
  </si>
  <si>
    <r>
      <t>S-piikki, 1. ajokerta, kevyt maa</t>
    </r>
    <r>
      <rPr>
        <vertAlign val="superscript"/>
        <sz val="11"/>
        <color theme="1"/>
        <rFont val="Calibri"/>
        <family val="2"/>
        <scheme val="minor"/>
      </rPr>
      <t>2</t>
    </r>
  </si>
  <si>
    <r>
      <t>S-piikki, 1. ajokerta, raskas maa</t>
    </r>
    <r>
      <rPr>
        <vertAlign val="superscript"/>
        <sz val="11"/>
        <color theme="1"/>
        <rFont val="Calibri"/>
        <family val="2"/>
        <scheme val="minor"/>
      </rPr>
      <t>2</t>
    </r>
  </si>
  <si>
    <r>
      <t>S-piikki, 2. ajokerta, kevyt maa</t>
    </r>
    <r>
      <rPr>
        <vertAlign val="superscript"/>
        <sz val="11"/>
        <color theme="1"/>
        <rFont val="Calibri"/>
        <family val="2"/>
        <scheme val="minor"/>
      </rPr>
      <t>2</t>
    </r>
  </si>
  <si>
    <r>
      <t>S-piikki, 2. ajokerta, raskas maa</t>
    </r>
    <r>
      <rPr>
        <vertAlign val="superscript"/>
        <sz val="11"/>
        <color theme="1"/>
        <rFont val="Calibri"/>
        <family val="2"/>
        <scheme val="minor"/>
      </rPr>
      <t>2</t>
    </r>
  </si>
  <si>
    <r>
      <t>S-piikki, 2. ajokerta, kevyt maa</t>
    </r>
    <r>
      <rPr>
        <vertAlign val="superscript"/>
        <sz val="11"/>
        <color theme="1"/>
        <rFont val="Calibri"/>
        <family val="2"/>
        <scheme val="minor"/>
      </rPr>
      <t>3</t>
    </r>
  </si>
  <si>
    <r>
      <t>S-piikki, 2. ajokerta, raskas maa</t>
    </r>
    <r>
      <rPr>
        <vertAlign val="superscript"/>
        <sz val="11"/>
        <color theme="1"/>
        <rFont val="Calibri"/>
        <family val="2"/>
        <scheme val="minor"/>
      </rPr>
      <t>3</t>
    </r>
  </si>
  <si>
    <r>
      <t>1</t>
    </r>
    <r>
      <rPr>
        <sz val="8"/>
        <color theme="1"/>
        <rFont val="Calibri"/>
        <family val="2"/>
        <scheme val="minor"/>
      </rPr>
      <t xml:space="preserve"> Nopeus 8 km/h. </t>
    </r>
    <r>
      <rPr>
        <vertAlign val="superscript"/>
        <sz val="8"/>
        <color theme="1"/>
        <rFont val="Calibri"/>
        <family val="2"/>
        <scheme val="minor"/>
      </rPr>
      <t>2</t>
    </r>
    <r>
      <rPr>
        <sz val="8"/>
        <color theme="1"/>
        <rFont val="Calibri"/>
        <family val="2"/>
        <scheme val="minor"/>
      </rPr>
      <t xml:space="preserve"> Nopeus 9 km/h</t>
    </r>
    <r>
      <rPr>
        <vertAlign val="superscript"/>
        <sz val="8"/>
        <color theme="1"/>
        <rFont val="Calibri"/>
        <family val="2"/>
        <scheme val="minor"/>
      </rPr>
      <t>. 3</t>
    </r>
    <r>
      <rPr>
        <sz val="8"/>
        <color theme="1"/>
        <rFont val="Calibri"/>
        <family val="2"/>
        <scheme val="minor"/>
      </rPr>
      <t xml:space="preserve">Nopeus 10 km/h. </t>
    </r>
  </si>
  <si>
    <t>Tässä voit arvioida traktorin ja äkeen kokoa. Arvot pätevät tasaisella maalla. Rinnepelloilla moottoritehon tarve on suurempi. Tulos on suuntaa antava. Maan kosteus ja rakenne vaikuttavat arviointiin ja ne muuuttuvat kosteuden ja maalajin muuttuessa. Tässä laskussa käytetään hyväksi Söhnen yhtälöitä ja äkeen varusteiden vaikutus arvioidaan äkeen painon ja piikkien pystyvoimien avulla.</t>
  </si>
  <si>
    <t>Tässä saadaan karkea arvio traktorin koolle, polttoaineen kulutukselle ja päästöille voimanottoakselikäyttöisiä nurmikoneita käytettäessä. Nurmen ominaisuudet ja pellon kunto vaihtelevat suuresti, jolloin tulokset ovat vain suuntaa antavia. Laskennassa oletetaan tasamaa ja normaali kuivan pellon pito. Rinnepelloilla tarvitaan suurempi teho, jos sama ajonopeus halutaan pitää. Käytä laskennassa omia lukuja. Alkuperäiset luvut ovat hatusta otettuja.</t>
  </si>
  <si>
    <t>Traktorin paino</t>
  </si>
  <si>
    <t xml:space="preserve">kg  </t>
  </si>
  <si>
    <t>Työkoneen kertoimet</t>
  </si>
  <si>
    <t>Työkoneen ja sadon tiedot</t>
  </si>
  <si>
    <t xml:space="preserve">Työkone </t>
  </si>
  <si>
    <r>
      <t>P</t>
    </r>
    <r>
      <rPr>
        <vertAlign val="subscript"/>
        <sz val="11"/>
        <color theme="1"/>
        <rFont val="Calibri"/>
        <family val="2"/>
        <scheme val="minor"/>
      </rPr>
      <t>0</t>
    </r>
    <r>
      <rPr>
        <sz val="10"/>
        <rFont val="Arial"/>
        <family val="2"/>
      </rPr>
      <t xml:space="preserve">
kW</t>
    </r>
  </si>
  <si>
    <r>
      <t>K</t>
    </r>
    <r>
      <rPr>
        <vertAlign val="subscript"/>
        <sz val="11"/>
        <color theme="1"/>
        <rFont val="Calibri"/>
        <family val="2"/>
        <scheme val="minor"/>
      </rPr>
      <t>b</t>
    </r>
    <r>
      <rPr>
        <sz val="10"/>
        <rFont val="Arial"/>
        <family val="2"/>
      </rPr>
      <t xml:space="preserve">
kW/m</t>
    </r>
  </si>
  <si>
    <r>
      <t>K</t>
    </r>
    <r>
      <rPr>
        <vertAlign val="subscript"/>
        <sz val="11"/>
        <color theme="1"/>
        <rFont val="Calibri"/>
        <family val="2"/>
        <scheme val="minor"/>
      </rPr>
      <t>m</t>
    </r>
    <r>
      <rPr>
        <sz val="10"/>
        <rFont val="Arial"/>
        <family val="2"/>
      </rPr>
      <t xml:space="preserve">
kWh/t</t>
    </r>
  </si>
  <si>
    <t>Työkoneen paino kuormattuna
 kg</t>
  </si>
  <si>
    <t>Yhdistelmän kokonaispaino 
kg</t>
  </si>
  <si>
    <t>Ajonopeus
 km/h</t>
  </si>
  <si>
    <t>Märkäsato 
kg/ha</t>
  </si>
  <si>
    <t>Sadon kosteus
%</t>
  </si>
  <si>
    <t>Kuivasato 
kg/ha</t>
  </si>
  <si>
    <t>Massavirta 
t/h</t>
  </si>
  <si>
    <t>Voimanottoakseli-
tehon tarve
kW</t>
  </si>
  <si>
    <t>Kulkutehon tarve 
kW</t>
  </si>
  <si>
    <t>Moottoritehon tarve 
kW</t>
  </si>
  <si>
    <t>Polttoaineen kulutus
l/h</t>
  </si>
  <si>
    <t>Polttoaineen kulutus
l/ha</t>
  </si>
  <si>
    <r>
      <t>Hiilidioksidi-ekvivalentti-päästö
kgCO</t>
    </r>
    <r>
      <rPr>
        <vertAlign val="subscript"/>
        <sz val="11"/>
        <color theme="1"/>
        <rFont val="Calibri"/>
        <family val="2"/>
        <scheme val="minor"/>
      </rPr>
      <t>2e</t>
    </r>
    <r>
      <rPr>
        <sz val="10"/>
        <rFont val="Arial"/>
        <family val="2"/>
      </rPr>
      <t>/ha</t>
    </r>
  </si>
  <si>
    <t xml:space="preserve">Pyöröpaalain, kiinteä kammio </t>
  </si>
  <si>
    <t xml:space="preserve">Pyöröpaalain, muuttuva kammio </t>
  </si>
  <si>
    <r>
      <t xml:space="preserve">Niittosilppuri </t>
    </r>
    <r>
      <rPr>
        <vertAlign val="superscript"/>
        <sz val="11"/>
        <color theme="1"/>
        <rFont val="Calibri"/>
        <family val="2"/>
        <scheme val="minor"/>
      </rPr>
      <t>1</t>
    </r>
  </si>
  <si>
    <t xml:space="preserve">Lautasniittokone </t>
  </si>
  <si>
    <t xml:space="preserve">Lautasniittomurskain </t>
  </si>
  <si>
    <t xml:space="preserve">Sormipalkkiniittomurskain </t>
  </si>
  <si>
    <t xml:space="preserve">Sormipalkkiniittokone </t>
  </si>
  <si>
    <t xml:space="preserve">Pyöröharava </t>
  </si>
  <si>
    <t xml:space="preserve">Pöyhin/karhotin </t>
  </si>
  <si>
    <t xml:space="preserve">Noukinvaunu </t>
  </si>
  <si>
    <r>
      <t>1</t>
    </r>
    <r>
      <rPr>
        <sz val="10"/>
        <rFont val="Arial"/>
        <family val="2"/>
      </rPr>
      <t>Niittosilppurin tehontarve lasketaan kuiva-aineen massavirran mukaan, muilla koneilla märkäsadon massavirran mukaan</t>
    </r>
  </si>
  <si>
    <t>Teoreettinen työsaavutus ha/h</t>
  </si>
  <si>
    <t>Sadonkorjuun kapasiteetin laskenta. Tilalla on kaksi työntekijä,toinen pui ja toinen hoitaa kuljetukset ja kuivauksen.  Työpäivien määrä on saatu esim. säätietojen avulla.</t>
  </si>
  <si>
    <t>Kokonaiskapasiteetti</t>
  </si>
  <si>
    <t>Pinta-ala</t>
  </si>
  <si>
    <t>ha</t>
  </si>
  <si>
    <t>Sato puintikosteudessa</t>
  </si>
  <si>
    <t>kg/ha</t>
  </si>
  <si>
    <t>Sato 14 % kosteudessa</t>
  </si>
  <si>
    <t>Työtunnit yhteensä</t>
  </si>
  <si>
    <t>h</t>
  </si>
  <si>
    <t>Puintikosteus</t>
  </si>
  <si>
    <t>%</t>
  </si>
  <si>
    <r>
      <t>Tarvittava kapasiteetti q</t>
    </r>
    <r>
      <rPr>
        <vertAlign val="subscript"/>
        <sz val="10"/>
        <rFont val="Arial"/>
        <family val="2"/>
      </rPr>
      <t>ko</t>
    </r>
  </si>
  <si>
    <t>ha/h</t>
  </si>
  <si>
    <t>Viljan hehtolitrapaino</t>
  </si>
  <si>
    <t>kg/hl</t>
  </si>
  <si>
    <t>Puintimäärä päivässä</t>
  </si>
  <si>
    <t>kg/pv</t>
  </si>
  <si>
    <r>
      <t>m</t>
    </r>
    <r>
      <rPr>
        <vertAlign val="superscript"/>
        <sz val="10"/>
        <rFont val="Arial"/>
        <family val="2"/>
      </rPr>
      <t>3</t>
    </r>
    <r>
      <rPr>
        <sz val="10"/>
        <rFont val="Arial"/>
        <family val="2"/>
      </rPr>
      <t>/pv</t>
    </r>
  </si>
  <si>
    <r>
      <t>Työpäiviä N</t>
    </r>
    <r>
      <rPr>
        <vertAlign val="subscript"/>
        <sz val="10"/>
        <rFont val="Arial"/>
        <family val="2"/>
      </rPr>
      <t>pv</t>
    </r>
  </si>
  <si>
    <t>pv</t>
  </si>
  <si>
    <r>
      <t>Tehokkaita työtunteja päivässä t</t>
    </r>
    <r>
      <rPr>
        <vertAlign val="subscript"/>
        <sz val="10"/>
        <rFont val="Arial"/>
        <family val="2"/>
      </rPr>
      <t>pv</t>
    </r>
  </si>
  <si>
    <t>h/pv</t>
  </si>
  <si>
    <t>Peltotyöt</t>
  </si>
  <si>
    <t>Puinti</t>
  </si>
  <si>
    <t>Puimurin luotettavuus</t>
  </si>
  <si>
    <t>Työsaavutus</t>
  </si>
  <si>
    <t>Puimurin työleveys</t>
  </si>
  <si>
    <t>Puinnin massavirta</t>
  </si>
  <si>
    <t>kg/h</t>
  </si>
  <si>
    <t>Työleveyden hyötysuhde</t>
  </si>
  <si>
    <t>Säiliön viljamäärä</t>
  </si>
  <si>
    <t>Viljasäiliön koko</t>
  </si>
  <si>
    <r>
      <t>m</t>
    </r>
    <r>
      <rPr>
        <vertAlign val="superscript"/>
        <sz val="10"/>
        <rFont val="Arial"/>
        <family val="2"/>
      </rPr>
      <t>3</t>
    </r>
  </si>
  <si>
    <t>Säiliön täyttymisaika</t>
  </si>
  <si>
    <t>min</t>
  </si>
  <si>
    <t>Säiliön tyhjennysaika</t>
  </si>
  <si>
    <t>Päivän puintimäärä</t>
  </si>
  <si>
    <t>kg/vrk</t>
  </si>
  <si>
    <t>Ajonopeus</t>
  </si>
  <si>
    <t>Koko alan puintiaika</t>
  </si>
  <si>
    <t>Työhyötysuhde pellolla</t>
  </si>
  <si>
    <t>Kuljetus</t>
  </si>
  <si>
    <t>Kuljetuksen luotettavuus</t>
  </si>
  <si>
    <t>Kuorman paino</t>
  </si>
  <si>
    <t xml:space="preserve">kg </t>
  </si>
  <si>
    <t>Kuormatilavuus</t>
  </si>
  <si>
    <t>Puimurin säiliöllisiä</t>
  </si>
  <si>
    <t>Kuljetusmatka</t>
  </si>
  <si>
    <t>km</t>
  </si>
  <si>
    <t>Kuorman puintiaika</t>
  </si>
  <si>
    <t>Kuljetusnopeus</t>
  </si>
  <si>
    <t>Kuljetusaika</t>
  </si>
  <si>
    <t>Purkuaika</t>
  </si>
  <si>
    <t>Kokonaisaika, kuljetus+purku+paluu</t>
  </si>
  <si>
    <t>Kuljetumassavirta</t>
  </si>
  <si>
    <r>
      <t>m</t>
    </r>
    <r>
      <rPr>
        <vertAlign val="superscript"/>
        <sz val="10"/>
        <rFont val="Arial"/>
        <family val="2"/>
      </rPr>
      <t>3</t>
    </r>
    <r>
      <rPr>
        <sz val="10"/>
        <rFont val="Arial"/>
        <family val="2"/>
      </rPr>
      <t>/h</t>
    </r>
  </si>
  <si>
    <t>Kuljetuksiin kuluva aika</t>
  </si>
  <si>
    <t>Tarvittava kuljetusvälinemäärä</t>
  </si>
  <si>
    <t>Perävaunuja jatkuvaan puintiin</t>
  </si>
  <si>
    <t>Kuormia päivässä</t>
  </si>
  <si>
    <t>Aikatarkastelu:</t>
  </si>
  <si>
    <t>-Kuorman ajo- + purkuaika</t>
  </si>
  <si>
    <t>-Säiliöllisen puintiaika</t>
  </si>
  <si>
    <t>Kerkeääkö kärry pellolle ennen 
puimurin säiliön täyttymistä?</t>
  </si>
  <si>
    <t>Kuivaus</t>
  </si>
  <si>
    <t>Kuivaussiilon koko</t>
  </si>
  <si>
    <t>Erään tarvitaan perävaunukuormia</t>
  </si>
  <si>
    <t>Kuivauseriä vuorokaudessa</t>
  </si>
  <si>
    <t>Erän paino</t>
  </si>
  <si>
    <t>Kosteuden aleneminen</t>
  </si>
  <si>
    <t>%/h</t>
  </si>
  <si>
    <t>Erän kuivausaika</t>
  </si>
  <si>
    <t>Loppukosteus</t>
  </si>
  <si>
    <t>Jäähdytys, tyhjennys ja täyttöaika</t>
  </si>
  <si>
    <t>Jäähdytysaika</t>
  </si>
  <si>
    <t>Erän kokonaisaika</t>
  </si>
  <si>
    <t>Tyhjennysaika</t>
  </si>
  <si>
    <t>Kuivurin käyntiaika vuorokaudessa</t>
  </si>
  <si>
    <t>Täyttöaika</t>
  </si>
  <si>
    <t>Kuivauksen massavirtaus</t>
  </si>
  <si>
    <t>Puskurivaraston koko</t>
  </si>
  <si>
    <t>Yhteenveto</t>
  </si>
  <si>
    <t>Kuivauskapasiteetti</t>
  </si>
  <si>
    <r>
      <t>m</t>
    </r>
    <r>
      <rPr>
        <vertAlign val="superscript"/>
        <sz val="10"/>
        <rFont val="Arial"/>
        <family val="2"/>
      </rPr>
      <t>3</t>
    </r>
    <r>
      <rPr>
        <sz val="10"/>
        <rFont val="Arial"/>
        <family val="2"/>
      </rPr>
      <t>/vrk</t>
    </r>
  </si>
  <si>
    <t>Puintikapasiteetti</t>
  </si>
  <si>
    <t xml:space="preserve">Kuljetuskapasiteetti </t>
  </si>
  <si>
    <t>Liittyy Esimerkkiin 47</t>
  </si>
  <si>
    <t>Työaika h</t>
  </si>
  <si>
    <t>Työsaavutus ha/h</t>
  </si>
  <si>
    <t>Keskiarvo/Yhteensä</t>
  </si>
  <si>
    <t>Korjuu</t>
  </si>
  <si>
    <t>Karhotus</t>
  </si>
  <si>
    <t>Esikuivaus</t>
  </si>
  <si>
    <t xml:space="preserve">Niitto </t>
  </si>
  <si>
    <t>Kokonaistyöaika pellolla</t>
  </si>
  <si>
    <t xml:space="preserve">kpl </t>
  </si>
  <si>
    <t>Paalimäärä koko alalta</t>
  </si>
  <si>
    <t>kpl/ha</t>
  </si>
  <si>
    <t xml:space="preserve">Paalimäärä  </t>
  </si>
  <si>
    <t>Paalin paino</t>
  </si>
  <si>
    <r>
      <t>Massavirta q</t>
    </r>
    <r>
      <rPr>
        <vertAlign val="subscript"/>
        <sz val="10"/>
        <rFont val="Arial"/>
        <family val="2"/>
      </rPr>
      <t>m</t>
    </r>
  </si>
  <si>
    <t xml:space="preserve">h </t>
  </si>
  <si>
    <t>Työaika</t>
  </si>
  <si>
    <t>Paalaimen luotettavuus</t>
  </si>
  <si>
    <t>Työleveys</t>
  </si>
  <si>
    <t>Traktorin luotettavuus</t>
  </si>
  <si>
    <t>Märkäsato korjuussa</t>
  </si>
  <si>
    <t>Sadon kuiva-ainepitoisuus</t>
  </si>
  <si>
    <t>Sadon korjuu</t>
  </si>
  <si>
    <t>Esikuivaus+karhotus</t>
  </si>
  <si>
    <t>- työleveys</t>
  </si>
  <si>
    <t>- ajonopeus</t>
  </si>
  <si>
    <t>- työleveyden hyötysuhde</t>
  </si>
  <si>
    <t>- työhyötysuhde pellolla</t>
  </si>
  <si>
    <t>- koneen luotettavuus</t>
  </si>
  <si>
    <t>- traktorin luotettavuus</t>
  </si>
  <si>
    <t>Esikuivauksessa</t>
  </si>
  <si>
    <t>Karhotusaika</t>
  </si>
  <si>
    <t>Kuivumisaika</t>
  </si>
  <si>
    <t>Niittokoneen työleveys</t>
  </si>
  <si>
    <t>Niittokoneen luotettavuus</t>
  </si>
  <si>
    <t>Niitto</t>
  </si>
  <si>
    <r>
      <t>Tehokkaita työtunteja t</t>
    </r>
    <r>
      <rPr>
        <vertAlign val="subscript"/>
        <sz val="10"/>
        <rFont val="Arial"/>
        <family val="2"/>
      </rPr>
      <t>pv</t>
    </r>
  </si>
  <si>
    <r>
      <t>Työpäiviä korjuukaudella N</t>
    </r>
    <r>
      <rPr>
        <vertAlign val="subscript"/>
        <sz val="10"/>
        <rFont val="Arial"/>
        <family val="2"/>
      </rPr>
      <t>pv</t>
    </r>
  </si>
  <si>
    <t>Kuiva-sato</t>
  </si>
  <si>
    <t>Nurmisato korjataan paalaimella. Tässä voidaan arvioida tarvittavaa kapasiteettia. Työpäivien määrä on saatu säätietojen avulla.</t>
  </si>
  <si>
    <t>Liittyy esimerkkiin 46</t>
  </si>
  <si>
    <t>Korjuu ja kuljetus</t>
  </si>
  <si>
    <t xml:space="preserve">min </t>
  </si>
  <si>
    <t>Yhden kuorman tiivistäminen</t>
  </si>
  <si>
    <t>min/t</t>
  </si>
  <si>
    <t>Tiivistämisaika</t>
  </si>
  <si>
    <t>Tiivistäminen</t>
  </si>
  <si>
    <t>Työsaavutus korjuussa ja kuljetuksessa</t>
  </si>
  <si>
    <t>Korjuun tehollinen massavirtaus</t>
  </si>
  <si>
    <t>Yhden vaunullisen kokonaisaika</t>
  </si>
  <si>
    <t>Noukinvaunuja</t>
  </si>
  <si>
    <t>Tilavuusvirta kuormattaessa</t>
  </si>
  <si>
    <r>
      <t>kg/m</t>
    </r>
    <r>
      <rPr>
        <vertAlign val="superscript"/>
        <sz val="10"/>
        <rFont val="Arial"/>
        <family val="2"/>
      </rPr>
      <t>3</t>
    </r>
  </si>
  <si>
    <t>Kuorman tilavuuspaino</t>
  </si>
  <si>
    <r>
      <t>Massavirta korjuussa q</t>
    </r>
    <r>
      <rPr>
        <vertAlign val="subscript"/>
        <sz val="10"/>
        <rFont val="Arial"/>
        <family val="2"/>
      </rPr>
      <t>m</t>
    </r>
  </si>
  <si>
    <t>Alan korjuuseen käytetty kokonaisaika</t>
  </si>
  <si>
    <t>Työnopeus</t>
  </si>
  <si>
    <t>Työsaavutus korjuussa</t>
  </si>
  <si>
    <t>Noukinvaunun luotettavuus</t>
  </si>
  <si>
    <t>Märkäsato koko alalta</t>
  </si>
  <si>
    <t>Yksi vaunu</t>
  </si>
  <si>
    <t>Sadon korjuu, kuljetus ja purku</t>
  </si>
  <si>
    <t>Karhoitusaika</t>
  </si>
  <si>
    <t>Erikseen</t>
  </si>
  <si>
    <t>t ka</t>
  </si>
  <si>
    <t>Kokonaissato</t>
  </si>
  <si>
    <t>Liittyy esimerkkiin 45</t>
  </si>
  <si>
    <t>t/h</t>
  </si>
  <si>
    <t>Kuljetuksen massavirtaus</t>
  </si>
  <si>
    <t>Massavirta kuormattaessa</t>
  </si>
  <si>
    <t>Korjuukoneen luotettavuus</t>
  </si>
  <si>
    <t>Tässä tarkastellaan yleisesti nurmenkorjuuketjun kapasiteettia eri vaiheiden avulla. Työpäivien määrä on saatu säätietojen avulla.</t>
  </si>
  <si>
    <t>Liittyy esimerkkiin 44</t>
  </si>
  <si>
    <t>Kustannus €</t>
  </si>
  <si>
    <t>Työsaavutus ha/vrk</t>
  </si>
  <si>
    <t>Kokonaisaika vrk</t>
  </si>
  <si>
    <t>Kokonaisaika h</t>
  </si>
  <si>
    <t>Suorakylvö</t>
  </si>
  <si>
    <t>Perinteinen</t>
  </si>
  <si>
    <t>€</t>
  </si>
  <si>
    <t>Kokonaiskustannus</t>
  </si>
  <si>
    <t>vrk</t>
  </si>
  <si>
    <t>Kokonaisaika perinteisellä</t>
  </si>
  <si>
    <t>€/h</t>
  </si>
  <si>
    <t>tuntikustannus</t>
  </si>
  <si>
    <t>koneen luotettavuus</t>
  </si>
  <si>
    <t>kustannus</t>
  </si>
  <si>
    <t>traktorin luotettavuus</t>
  </si>
  <si>
    <t>työhyötysuhde</t>
  </si>
  <si>
    <t>t=A/qko</t>
  </si>
  <si>
    <t>työaika</t>
  </si>
  <si>
    <t>h/vrk</t>
  </si>
  <si>
    <t>työaika pellolla</t>
  </si>
  <si>
    <t>ha/vrk</t>
  </si>
  <si>
    <t>leveys</t>
  </si>
  <si>
    <r>
      <t>qko=(v*b/10)*</t>
    </r>
    <r>
      <rPr>
        <sz val="10"/>
        <rFont val="Calibri"/>
        <family val="2"/>
      </rPr>
      <t>η</t>
    </r>
  </si>
  <si>
    <t>työsaavutus</t>
  </si>
  <si>
    <t>nopeus</t>
  </si>
  <si>
    <t>Kylvö</t>
  </si>
  <si>
    <t>äestyskertoja</t>
  </si>
  <si>
    <t>äkeen luotettavuus</t>
  </si>
  <si>
    <t>työleveyden hyötysuhde</t>
  </si>
  <si>
    <t>t=A/qko*äestyskertoja</t>
  </si>
  <si>
    <t>työsaavutus äestyskerrat huomioiden</t>
  </si>
  <si>
    <t>Äestys</t>
  </si>
  <si>
    <t>hehtaarikustannus</t>
  </si>
  <si>
    <t>Suorakylvökone</t>
  </si>
  <si>
    <t>Perinteinen tapa</t>
  </si>
  <si>
    <t>Tasausäestys</t>
  </si>
  <si>
    <t>Työpäivien määrä</t>
  </si>
  <si>
    <r>
      <t>Tarvittava kapasiteetti, q</t>
    </r>
    <r>
      <rPr>
        <vertAlign val="subscript"/>
        <sz val="10"/>
        <rFont val="Arial"/>
        <family val="2"/>
      </rPr>
      <t>ko</t>
    </r>
  </si>
  <si>
    <t xml:space="preserve">Kapasiteetin ja kustannusten vertailu, kun vaihtoehtona on perinteinen kylvötapa ja suorakylvö. Hehtaarikohtaiset hinnat on saatu Työtehoseuran julkaisusta: Konetyön kustannukset ja tilastolliset urakointihinnat 2024. TTS Työtehoseuran julkaisu 487. </t>
  </si>
  <si>
    <t>Liittyy esimerkkiin 43</t>
  </si>
  <si>
    <t>Kylvön kokonaisaika</t>
  </si>
  <si>
    <t>Tasausäestys + äestys  kokonaisaika</t>
  </si>
  <si>
    <t>äestysaika</t>
  </si>
  <si>
    <t>tasausäestysaika</t>
  </si>
  <si>
    <t>kylvöaika</t>
  </si>
  <si>
    <t>kylvökoneen luotettavuus</t>
  </si>
  <si>
    <t>Työaika pellolla päivässä</t>
  </si>
  <si>
    <t>Traktori 2 kylvö</t>
  </si>
  <si>
    <t>Traktori 1 äestys</t>
  </si>
  <si>
    <t>Äestys ja kylvö</t>
  </si>
  <si>
    <r>
      <t>Käytettävissä olevat työpäivät N</t>
    </r>
    <r>
      <rPr>
        <vertAlign val="subscript"/>
        <sz val="10"/>
        <rFont val="Arial"/>
        <family val="2"/>
      </rPr>
      <t>pv</t>
    </r>
    <r>
      <rPr>
        <sz val="10"/>
        <rFont val="Arial"/>
        <family val="2"/>
      </rPr>
      <t xml:space="preserve"> </t>
    </r>
  </si>
  <si>
    <t>Pinta-ala A</t>
  </si>
  <si>
    <t xml:space="preserve">Kevättöiden laskenta, kun tilalla kaksi työntekijää. Toinen äestää ja toinen kylvää. </t>
  </si>
  <si>
    <t>Liittyy esimerkkiin 42</t>
  </si>
  <si>
    <t>Kokonaisaika</t>
  </si>
  <si>
    <t>Kylvön kesto</t>
  </si>
  <si>
    <t>Tasausäestys +äestys kesto</t>
  </si>
  <si>
    <t>äestyksen työsaavutus</t>
  </si>
  <si>
    <t>Kevättöiden kapasiteetin laskenta. Tilalla on yksi työntekijä, joka tekee kaikki työt. Kevättyöt tehdään traditionaalisesti, tasausäestys, äestys ja kylvö. Työpäivien määrä on saatu esim. säätietojen avulla. Työt tehdään lohkokohtaisesti peräkkäin, ensin äestykset ja sen jälkeen kylvö. Jos tasausäestystä ei tehdä, anna äestyskerroiksi 0.</t>
  </si>
  <si>
    <t>Liittyy esimerkkiin 41</t>
  </si>
  <si>
    <t>Koneiden 1,2 ja 3 yhteisluotettavuus</t>
  </si>
  <si>
    <t>Koneiden 2 ja 3 yhteisluotettavuus</t>
  </si>
  <si>
    <t>Koneiden 1 ja 3 yhteisluotettavuus</t>
  </si>
  <si>
    <t>Koneiden 1 ja 2 yhteisluotettavuus</t>
  </si>
  <si>
    <r>
      <t>Koneen 3 luotettavuus R</t>
    </r>
    <r>
      <rPr>
        <vertAlign val="subscript"/>
        <sz val="10"/>
        <rFont val="Arial"/>
        <family val="2"/>
      </rPr>
      <t>3</t>
    </r>
  </si>
  <si>
    <r>
      <t>Koneen 2 luotettavuus R</t>
    </r>
    <r>
      <rPr>
        <vertAlign val="subscript"/>
        <sz val="10"/>
        <rFont val="Arial"/>
        <family val="2"/>
      </rPr>
      <t>2</t>
    </r>
  </si>
  <si>
    <r>
      <t>Koneen 1 luotettavuus R</t>
    </r>
    <r>
      <rPr>
        <vertAlign val="subscript"/>
        <sz val="10"/>
        <rFont val="Arial"/>
        <family val="2"/>
      </rPr>
      <t>1</t>
    </r>
  </si>
  <si>
    <t>Kone 3</t>
  </si>
  <si>
    <t>Kone 2</t>
  </si>
  <si>
    <t>Kone 1</t>
  </si>
  <si>
    <t>Hyvänä koneiden luotettavuutena pidetään 95%. Tämä tarkoittaa esimerkiksi sitä, että 50 käyttötunnin aikana huoltoon ja korjauksiin kuluu 2,5 tuntia. Tässä voit laskea kolmen koneen luotettavuuksien avulla järjestelmän kokonaisluotettavuuden. Jos lasket vain kahdelle koneelle, merkkaa yhden koneen luotettavuudeksi 100%. Laskennan perustana on, että kaikki koneet ovat lähtötilanteessa käyttökunnossa.</t>
  </si>
  <si>
    <t>Liittyy esimerkkiin 16</t>
  </si>
  <si>
    <t>Poutapäiviä</t>
  </si>
  <si>
    <t>Todennäköisyys</t>
  </si>
  <si>
    <t>Tarvittava kapasiteetti</t>
  </si>
  <si>
    <t>Tapa 2. Haluttua todennäköisyyttä vastaava poutapäivien määrä</t>
  </si>
  <si>
    <t>Tapaus 1. Halutun poutapäivämäärän todennäköisyys</t>
  </si>
  <si>
    <t>Työpäivän pituus pellolla</t>
  </si>
  <si>
    <t>Hajonta</t>
  </si>
  <si>
    <t>Tilan pinta-ala</t>
  </si>
  <si>
    <t>Keskimäärin</t>
  </si>
  <si>
    <t>Tilan tiedot</t>
  </si>
  <si>
    <t>Poutapäiviä säätietojen perusteella</t>
  </si>
  <si>
    <t>Kevättöiden aikaisista säätiedostoista on saatu keskimääräinen poutapäivien määrä ja sen hajonta. Sen mukaan lasketaan poutapäivien todennäköisyys ja myös voidaan tiettyä todennäköisyyttä vastaava poutapäivämäärä.</t>
  </si>
  <si>
    <t>Liittyy esimerkkiin 8</t>
  </si>
  <si>
    <t>Liittyy esimerkkiin 58</t>
  </si>
  <si>
    <t>Liittyy esimerkkiin 55</t>
  </si>
  <si>
    <t>Liittyy esimerkkiin 54</t>
  </si>
  <si>
    <r>
      <t>Tässä saadaan karkea arvio traktorin koolle, polttoaineen kulutukselle ja päästöille muokkaustöissä. Maan vastus vaihtelee suuresti sen kosteuden muuttuessa, samoin maa vaikuttaa traktorin vetokykyyn. Tulokset ovat siten suuntaa antavia. Traktorin arvojen laskennassa oletetaan tasamaa ja normaali pellon pito. Rinnepelloilla tarvitaan suurempi teho, jos sama ajonopeus halutaan pitää. Ajonopeus vaikuttaa myös työkoneen vastukseen. Jos käytät muuta ajonopeutta kuin terälle annettua nopeutta, tuloksen virhe suurenee. Äkeen tukeminen ja erilaiset varusteet aiheuttavat erisuurta lisävastusta, tässä voi valita etuladan ja varpajyrän</t>
    </r>
    <r>
      <rPr>
        <b/>
        <sz val="11"/>
        <color theme="1"/>
        <rFont val="Calibri"/>
        <family val="2"/>
        <scheme val="minor"/>
      </rPr>
      <t xml:space="preserve">. </t>
    </r>
    <r>
      <rPr>
        <sz val="11"/>
        <color theme="1"/>
        <rFont val="Calibri"/>
        <family val="2"/>
        <scheme val="minor"/>
      </rPr>
      <t xml:space="preserve"> Taulukon alkuperäiset luvut on hatusta otettuja, käytä laskuissa omia lukuja.</t>
    </r>
  </si>
  <si>
    <t>Laskut</t>
  </si>
  <si>
    <t xml:space="preserve">Laskuissa on huomattava aina laadut. Joskus tarvitaan hehtaareja, toisinaan taas neliömetrejä. Nopeus voi olla km/h, mutta tarvitaan m/s. Tunnit voi joutua muuttamaan sekunneiksi tai päinvastoin. Laatujen kanssa on erittäin helppo tehdä virheitä. Tämän takia tarkista aina, että laadut ovat oikein laskuissa. Solut joihin voit syöttää omia arvoja on merkattu vihreällä. Sen vieressä on annettu mitä laatua luvun pitää olla. Jos tarvit laatumuunnoksia, alla on muutama tyypillinen  muunnos. </t>
  </si>
  <si>
    <t>1 km/h = 1/3,6 m/s, esimerkiksi 7,2 km/h = 7200 m/3600s = 2 m/s</t>
  </si>
  <si>
    <r>
      <rPr>
        <sz val="11"/>
        <rFont val="Calibri"/>
        <family val="2"/>
      </rPr>
      <t>1 ha = 10 000 m</t>
    </r>
    <r>
      <rPr>
        <vertAlign val="superscript"/>
        <sz val="11"/>
        <rFont val="Calibri"/>
        <family val="2"/>
      </rPr>
      <t>2</t>
    </r>
  </si>
  <si>
    <t>1 h= 3600 s</t>
  </si>
  <si>
    <t>1 min = 60 s</t>
  </si>
  <si>
    <t>1 h = 60 min</t>
  </si>
  <si>
    <t>1 tn = 1000 kg</t>
  </si>
  <si>
    <t>Pyörimisnopeus r/min = π/30 rad/s, esimerkiksi tehon laskennassa tarvitaan kulmanopeutta [rad/s]</t>
  </si>
  <si>
    <t>Taulukkojen vihreällä merkittyihin soluihin voit syöttää omat arvosi</t>
  </si>
  <si>
    <t>mailto:jukka.ahokas@agrotekno.fi</t>
  </si>
  <si>
    <t>Konekapasiteetin tarve</t>
  </si>
  <si>
    <t>Piikkien vaakavoimat</t>
  </si>
  <si>
    <t>Äkeen kokonaispystyvoima</t>
  </si>
  <si>
    <t>Äkeen vierimisvastusvoima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</si>
</sst>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Calibri"/>
      <family val="2"/>
    </font>
    <font>
      <u/>
      <sz val="10"/>
      <name val="Arial"/>
      <family val="2"/>
    </font>
    <font>
      <u/>
      <sz val="10"/>
      <name val="Calibri"/>
      <family val="2"/>
    </font>
    <font>
      <vertAlign val="subscript"/>
      <sz val="10"/>
      <name val="Arial"/>
      <family val="2"/>
    </font>
    <font>
      <vertAlign val="superscript"/>
      <sz val="10"/>
      <name val="Arial"/>
      <family val="2"/>
    </font>
    <font>
      <sz val="9"/>
      <color indexed="81"/>
      <name val="Tahoma"/>
      <family val="2"/>
    </font>
    <font>
      <b/>
      <sz val="9"/>
      <color indexed="81"/>
      <name val="Tahoma"/>
      <family val="2"/>
    </font>
    <font>
      <sz val="11"/>
      <color rgb="FF006100"/>
      <name val="Calibri"/>
      <family val="2"/>
      <scheme val="minor"/>
    </font>
    <font>
      <b/>
      <sz val="11"/>
      <color theme="1"/>
      <name val="Calibri"/>
      <family val="2"/>
      <scheme val="minor"/>
    </font>
    <font>
      <vertAlign val="superscript"/>
      <sz val="11"/>
      <color theme="1"/>
      <name val="Calibri"/>
      <family val="2"/>
      <scheme val="minor"/>
    </font>
    <font>
      <sz val="8"/>
      <color theme="1"/>
      <name val="Calibri"/>
      <family val="2"/>
      <scheme val="minor"/>
    </font>
    <font>
      <vertAlign val="superscript"/>
      <sz val="8"/>
      <color theme="1"/>
      <name val="Calibri"/>
      <family val="2"/>
      <scheme val="minor"/>
    </font>
    <font>
      <vertAlign val="subscript"/>
      <sz val="11"/>
      <color theme="1"/>
      <name val="Calibri"/>
      <family val="2"/>
      <scheme val="minor"/>
    </font>
    <font>
      <sz val="11"/>
      <color theme="1"/>
      <name val="Arial"/>
      <family val="2"/>
    </font>
    <font>
      <sz val="13"/>
      <color theme="1"/>
      <name val="Calibri"/>
      <family val="2"/>
      <scheme val="minor"/>
    </font>
    <font>
      <b/>
      <sz val="12"/>
      <color theme="1"/>
      <name val="Calibri"/>
      <family val="2"/>
      <scheme val="minor"/>
    </font>
    <font>
      <sz val="11"/>
      <color theme="1"/>
      <name val="Calibri"/>
      <family val="2"/>
    </font>
    <font>
      <b/>
      <sz val="12"/>
      <name val="Arial"/>
      <family val="2"/>
    </font>
    <font>
      <b/>
      <sz val="12"/>
      <color rgb="FFFF0000"/>
      <name val="Arial"/>
      <family val="2"/>
    </font>
    <font>
      <b/>
      <sz val="10"/>
      <color rgb="FFFF0000"/>
      <name val="Arial"/>
      <family val="2"/>
    </font>
    <font>
      <sz val="11"/>
      <name val="Arial"/>
      <family val="2"/>
    </font>
    <font>
      <b/>
      <u/>
      <sz val="10"/>
      <name val="Arial"/>
      <family val="2"/>
    </font>
    <font>
      <b/>
      <sz val="10"/>
      <color theme="1"/>
      <name val="Arial"/>
      <family val="2"/>
    </font>
    <font>
      <u/>
      <sz val="10"/>
      <color theme="10"/>
      <name val="Arial"/>
      <family val="2"/>
    </font>
    <font>
      <b/>
      <sz val="14"/>
      <name val="Calibri"/>
      <family val="2"/>
    </font>
    <font>
      <sz val="12"/>
      <name val="Arial"/>
      <family val="2"/>
    </font>
    <font>
      <sz val="11"/>
      <name val="Calibri"/>
      <family val="2"/>
    </font>
    <font>
      <vertAlign val="superscript"/>
      <sz val="11"/>
      <name val="Calibri"/>
      <family val="2"/>
    </font>
    <font>
      <sz val="12"/>
      <color theme="1"/>
      <name val="Calibri"/>
      <family val="2"/>
      <scheme val="minor"/>
    </font>
  </fonts>
  <fills count="5">
    <fill>
      <patternFill patternType="none"/>
    </fill>
    <fill>
      <patternFill patternType="gray125"/>
    </fill>
    <fill>
      <patternFill patternType="solid">
        <fgColor rgb="FF92D050"/>
        <bgColor indexed="64"/>
      </patternFill>
    </fill>
    <fill>
      <patternFill patternType="solid">
        <fgColor theme="2" tint="-9.9978637043366805E-2"/>
        <bgColor indexed="64"/>
      </patternFill>
    </fill>
    <fill>
      <patternFill patternType="solid">
        <fgColor rgb="FFC6EFCE"/>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rgb="FF7F7F7F"/>
      </left>
      <right style="thin">
        <color rgb="FF7F7F7F"/>
      </right>
      <top style="thin">
        <color rgb="FF7F7F7F"/>
      </top>
      <bottom/>
      <diagonal/>
    </border>
    <border>
      <left style="thin">
        <color rgb="FF7F7F7F"/>
      </left>
      <right style="thin">
        <color rgb="FF7F7F7F"/>
      </right>
      <top style="thin">
        <color indexed="64"/>
      </top>
      <bottom style="thin">
        <color rgb="FF7F7F7F"/>
      </bottom>
      <diagonal/>
    </border>
    <border>
      <left style="medium">
        <color indexed="64"/>
      </left>
      <right/>
      <top style="thin">
        <color indexed="64"/>
      </top>
      <bottom/>
      <diagonal/>
    </border>
    <border>
      <left style="thin">
        <color rgb="FF7F7F7F"/>
      </left>
      <right style="thin">
        <color rgb="FF7F7F7F"/>
      </right>
      <top/>
      <bottom style="thin">
        <color rgb="FF7F7F7F"/>
      </bottom>
      <diagonal/>
    </border>
    <border>
      <left/>
      <right/>
      <top style="thin">
        <color indexed="64"/>
      </top>
      <bottom style="medium">
        <color indexed="64"/>
      </bottom>
      <diagonal/>
    </border>
    <border>
      <left style="thin">
        <color rgb="FF7F7F7F"/>
      </left>
      <right style="thin">
        <color rgb="FF7F7F7F"/>
      </right>
      <top style="medium">
        <color indexed="64"/>
      </top>
      <bottom style="thin">
        <color rgb="FF7F7F7F"/>
      </bottom>
      <diagonal/>
    </border>
  </borders>
  <cellStyleXfs count="8">
    <xf numFmtId="0" fontId="0" fillId="0" borderId="0"/>
    <xf numFmtId="0" fontId="4" fillId="0" borderId="0"/>
    <xf numFmtId="0" fontId="4" fillId="0" borderId="0" applyProtection="0"/>
    <xf numFmtId="0" fontId="13" fillId="4" borderId="0" applyNumberFormat="0" applyBorder="0" applyAlignment="0" applyProtection="0"/>
    <xf numFmtId="0" fontId="3" fillId="0" borderId="0"/>
    <xf numFmtId="0" fontId="2" fillId="0" borderId="0"/>
    <xf numFmtId="9" fontId="2" fillId="0" borderId="0" applyFont="0" applyFill="0" applyBorder="0" applyAlignment="0" applyProtection="0"/>
    <xf numFmtId="0" fontId="29" fillId="0" borderId="0" applyNumberFormat="0" applyFill="0" applyBorder="0" applyAlignment="0" applyProtection="0"/>
  </cellStyleXfs>
  <cellXfs count="265">
    <xf numFmtId="0" fontId="0" fillId="0" borderId="0" xfId="0"/>
    <xf numFmtId="0" fontId="0" fillId="0" borderId="0" xfId="0" applyAlignment="1">
      <alignment vertical="top" wrapText="1"/>
    </xf>
    <xf numFmtId="0" fontId="5" fillId="0" borderId="0" xfId="0" applyFont="1"/>
    <xf numFmtId="0" fontId="6" fillId="0" borderId="0" xfId="0" applyFont="1"/>
    <xf numFmtId="2" fontId="0" fillId="0" borderId="0" xfId="0" applyNumberFormat="1"/>
    <xf numFmtId="0" fontId="4" fillId="0" borderId="0" xfId="0" applyFont="1"/>
    <xf numFmtId="164" fontId="0" fillId="0" borderId="0" xfId="0" applyNumberFormat="1"/>
    <xf numFmtId="0" fontId="7" fillId="0" borderId="0" xfId="0" applyFont="1"/>
    <xf numFmtId="0" fontId="5" fillId="0" borderId="2" xfId="0" applyFont="1" applyBorder="1"/>
    <xf numFmtId="0" fontId="0" fillId="0" borderId="3" xfId="0" applyBorder="1"/>
    <xf numFmtId="0" fontId="0" fillId="0" borderId="5" xfId="0" applyBorder="1"/>
    <xf numFmtId="0" fontId="0" fillId="0" borderId="7" xfId="0" applyBorder="1"/>
    <xf numFmtId="0" fontId="0" fillId="0" borderId="8" xfId="0" applyBorder="1"/>
    <xf numFmtId="0" fontId="6" fillId="0" borderId="3" xfId="0" applyFont="1" applyBorder="1"/>
    <xf numFmtId="2" fontId="0" fillId="0" borderId="3" xfId="0" applyNumberFormat="1" applyBorder="1"/>
    <xf numFmtId="0" fontId="0" fillId="0" borderId="4" xfId="0" applyBorder="1"/>
    <xf numFmtId="0" fontId="0" fillId="0" borderId="6" xfId="0" applyBorder="1"/>
    <xf numFmtId="0" fontId="4" fillId="0" borderId="8" xfId="0" applyFont="1" applyBorder="1"/>
    <xf numFmtId="0" fontId="0" fillId="0" borderId="9" xfId="0" applyBorder="1"/>
    <xf numFmtId="0" fontId="4" fillId="0" borderId="3" xfId="0" applyFont="1" applyBorder="1"/>
    <xf numFmtId="0" fontId="6" fillId="0" borderId="8" xfId="0" applyFont="1" applyBorder="1"/>
    <xf numFmtId="2" fontId="0" fillId="0" borderId="8" xfId="0" applyNumberFormat="1" applyBorder="1"/>
    <xf numFmtId="164" fontId="0" fillId="0" borderId="3" xfId="0" applyNumberFormat="1" applyBorder="1"/>
    <xf numFmtId="1" fontId="0" fillId="0" borderId="3" xfId="0" applyNumberFormat="1" applyBorder="1"/>
    <xf numFmtId="1" fontId="0" fillId="0" borderId="8" xfId="0" applyNumberFormat="1" applyBorder="1"/>
    <xf numFmtId="1" fontId="0" fillId="0" borderId="0" xfId="0" applyNumberFormat="1"/>
    <xf numFmtId="0" fontId="5" fillId="3" borderId="1" xfId="0" applyFont="1" applyFill="1" applyBorder="1"/>
    <xf numFmtId="0" fontId="0" fillId="3" borderId="1" xfId="0" applyFill="1" applyBorder="1"/>
    <xf numFmtId="0" fontId="0" fillId="3" borderId="1" xfId="0" applyFill="1" applyBorder="1" applyAlignment="1">
      <alignment vertical="top" wrapText="1"/>
    </xf>
    <xf numFmtId="0" fontId="0" fillId="3" borderId="1" xfId="0" applyFill="1" applyBorder="1" applyAlignment="1">
      <alignment horizontal="center" vertical="center" wrapText="1"/>
    </xf>
    <xf numFmtId="0" fontId="0" fillId="3" borderId="1" xfId="0" applyFill="1" applyBorder="1" applyAlignment="1">
      <alignment vertical="center" wrapText="1"/>
    </xf>
    <xf numFmtId="0" fontId="0" fillId="3" borderId="1" xfId="0" applyFill="1" applyBorder="1" applyAlignment="1">
      <alignment horizontal="center"/>
    </xf>
    <xf numFmtId="0" fontId="0" fillId="3" borderId="1" xfId="0" applyFill="1" applyBorder="1" applyAlignment="1">
      <alignment horizontal="center" wrapText="1"/>
    </xf>
    <xf numFmtId="0" fontId="0" fillId="2" borderId="1" xfId="0" applyFill="1" applyBorder="1" applyProtection="1">
      <protection locked="0"/>
    </xf>
    <xf numFmtId="9" fontId="0" fillId="2" borderId="1" xfId="0" applyNumberFormat="1" applyFill="1" applyBorder="1" applyProtection="1">
      <protection locked="0"/>
    </xf>
    <xf numFmtId="0" fontId="3" fillId="0" borderId="0" xfId="4"/>
    <xf numFmtId="0" fontId="15" fillId="0" borderId="0" xfId="4" applyFont="1"/>
    <xf numFmtId="0" fontId="17" fillId="0" borderId="0" xfId="4" applyFont="1"/>
    <xf numFmtId="0" fontId="3" fillId="0" borderId="12" xfId="4" applyBorder="1"/>
    <xf numFmtId="0" fontId="3" fillId="0" borderId="0" xfId="4" applyAlignment="1">
      <alignment horizontal="center"/>
    </xf>
    <xf numFmtId="0" fontId="3" fillId="0" borderId="13" xfId="4" applyBorder="1"/>
    <xf numFmtId="0" fontId="3" fillId="0" borderId="17" xfId="4" applyBorder="1"/>
    <xf numFmtId="0" fontId="3" fillId="0" borderId="18" xfId="4" applyBorder="1" applyAlignment="1">
      <alignment wrapText="1"/>
    </xf>
    <xf numFmtId="0" fontId="3" fillId="0" borderId="19" xfId="4" applyBorder="1" applyAlignment="1">
      <alignment wrapText="1"/>
    </xf>
    <xf numFmtId="0" fontId="3" fillId="0" borderId="20" xfId="4" applyBorder="1"/>
    <xf numFmtId="0" fontId="14" fillId="0" borderId="0" xfId="4" applyFont="1"/>
    <xf numFmtId="0" fontId="3" fillId="0" borderId="21" xfId="4" applyBorder="1"/>
    <xf numFmtId="0" fontId="3" fillId="0" borderId="12" xfId="4" applyBorder="1" applyAlignment="1">
      <alignment horizontal="left" vertical="top" wrapText="1"/>
    </xf>
    <xf numFmtId="0" fontId="3" fillId="0" borderId="22" xfId="4" applyBorder="1"/>
    <xf numFmtId="0" fontId="20" fillId="0" borderId="0" xfId="4" applyFont="1" applyAlignment="1">
      <alignment horizontal="left" vertical="top" wrapText="1"/>
    </xf>
    <xf numFmtId="0" fontId="3" fillId="0" borderId="22" xfId="4" applyBorder="1" applyAlignment="1">
      <alignment horizontal="left" vertical="top" wrapText="1"/>
    </xf>
    <xf numFmtId="0" fontId="3" fillId="0" borderId="13" xfId="4" applyBorder="1" applyAlignment="1">
      <alignment horizontal="left" vertical="top" wrapText="1"/>
    </xf>
    <xf numFmtId="0" fontId="20" fillId="0" borderId="22" xfId="4" applyFont="1" applyBorder="1" applyAlignment="1">
      <alignment horizontal="left" vertical="top" wrapText="1"/>
    </xf>
    <xf numFmtId="164" fontId="3" fillId="0" borderId="0" xfId="4" applyNumberFormat="1"/>
    <xf numFmtId="0" fontId="3" fillId="0" borderId="0" xfId="4" applyAlignment="1">
      <alignment horizontal="right" vertical="top" wrapText="1"/>
    </xf>
    <xf numFmtId="0" fontId="20" fillId="0" borderId="23" xfId="4" applyFont="1" applyBorder="1" applyAlignment="1">
      <alignment horizontal="left" vertical="top" wrapText="1"/>
    </xf>
    <xf numFmtId="0" fontId="3" fillId="0" borderId="17" xfId="4" applyBorder="1" applyAlignment="1">
      <alignment horizontal="left" vertical="top" wrapText="1"/>
    </xf>
    <xf numFmtId="0" fontId="21" fillId="0" borderId="0" xfId="4" applyFont="1" applyAlignment="1">
      <alignment horizontal="left" vertical="top" wrapText="1"/>
    </xf>
    <xf numFmtId="0" fontId="13" fillId="4" borderId="1" xfId="3" applyBorder="1"/>
    <xf numFmtId="0" fontId="21" fillId="0" borderId="0" xfId="4" applyFont="1"/>
    <xf numFmtId="0" fontId="3" fillId="0" borderId="24" xfId="4" applyBorder="1" applyAlignment="1">
      <alignment wrapText="1"/>
    </xf>
    <xf numFmtId="0" fontId="3" fillId="0" borderId="25" xfId="4" applyBorder="1" applyAlignment="1">
      <alignment wrapText="1"/>
    </xf>
    <xf numFmtId="0" fontId="3" fillId="0" borderId="26" xfId="4" applyBorder="1" applyAlignment="1">
      <alignment wrapText="1"/>
    </xf>
    <xf numFmtId="0" fontId="3" fillId="0" borderId="22" xfId="4" applyBorder="1" applyAlignment="1">
      <alignment horizontal="center"/>
    </xf>
    <xf numFmtId="164" fontId="3" fillId="0" borderId="29" xfId="4" applyNumberFormat="1" applyBorder="1"/>
    <xf numFmtId="164" fontId="3" fillId="0" borderId="30" xfId="4" applyNumberFormat="1" applyBorder="1"/>
    <xf numFmtId="1" fontId="3" fillId="0" borderId="30" xfId="4" applyNumberFormat="1" applyBorder="1"/>
    <xf numFmtId="1" fontId="3" fillId="0" borderId="22" xfId="4" applyNumberFormat="1" applyBorder="1"/>
    <xf numFmtId="0" fontId="3" fillId="0" borderId="21" xfId="4" applyBorder="1" applyAlignment="1">
      <alignment horizontal="center"/>
    </xf>
    <xf numFmtId="164" fontId="3" fillId="0" borderId="33" xfId="4" applyNumberFormat="1" applyBorder="1"/>
    <xf numFmtId="164" fontId="3" fillId="0" borderId="34" xfId="4" applyNumberFormat="1" applyBorder="1"/>
    <xf numFmtId="1" fontId="3" fillId="0" borderId="34" xfId="4" applyNumberFormat="1" applyBorder="1"/>
    <xf numFmtId="1" fontId="3" fillId="0" borderId="21" xfId="4" applyNumberFormat="1" applyBorder="1"/>
    <xf numFmtId="164" fontId="3" fillId="0" borderId="1" xfId="4" applyNumberFormat="1" applyBorder="1"/>
    <xf numFmtId="0" fontId="3" fillId="0" borderId="10" xfId="4" applyBorder="1"/>
    <xf numFmtId="0" fontId="3" fillId="0" borderId="16" xfId="4" applyBorder="1" applyAlignment="1">
      <alignment wrapText="1"/>
    </xf>
    <xf numFmtId="0" fontId="3" fillId="0" borderId="15" xfId="4" applyBorder="1" applyAlignment="1">
      <alignment wrapText="1"/>
    </xf>
    <xf numFmtId="0" fontId="3" fillId="0" borderId="35" xfId="4" applyBorder="1" applyAlignment="1">
      <alignment wrapText="1"/>
    </xf>
    <xf numFmtId="1" fontId="3" fillId="0" borderId="1" xfId="4" applyNumberFormat="1" applyBorder="1"/>
    <xf numFmtId="1" fontId="3" fillId="0" borderId="31" xfId="4" applyNumberFormat="1" applyBorder="1"/>
    <xf numFmtId="0" fontId="3" fillId="0" borderId="11" xfId="4" applyBorder="1" applyAlignment="1">
      <alignment horizontal="center"/>
    </xf>
    <xf numFmtId="0" fontId="3" fillId="0" borderId="11" xfId="4" applyBorder="1"/>
    <xf numFmtId="164" fontId="3" fillId="0" borderId="10" xfId="4" applyNumberFormat="1" applyBorder="1"/>
    <xf numFmtId="1" fontId="3" fillId="0" borderId="10" xfId="4" applyNumberFormat="1" applyBorder="1"/>
    <xf numFmtId="1" fontId="3" fillId="0" borderId="32" xfId="4" applyNumberFormat="1" applyBorder="1"/>
    <xf numFmtId="0" fontId="3" fillId="0" borderId="23" xfId="4" applyBorder="1" applyAlignment="1">
      <alignment horizontal="left" vertical="top" wrapText="1"/>
    </xf>
    <xf numFmtId="0" fontId="3" fillId="0" borderId="0" xfId="4" applyAlignment="1">
      <alignment wrapText="1"/>
    </xf>
    <xf numFmtId="2" fontId="3" fillId="0" borderId="0" xfId="4" applyNumberFormat="1"/>
    <xf numFmtId="1" fontId="3" fillId="0" borderId="0" xfId="4" applyNumberFormat="1"/>
    <xf numFmtId="0" fontId="3" fillId="0" borderId="19" xfId="4" applyBorder="1" applyAlignment="1">
      <alignment horizontal="center" wrapText="1"/>
    </xf>
    <xf numFmtId="2" fontId="3" fillId="0" borderId="24" xfId="4" applyNumberFormat="1" applyBorder="1" applyAlignment="1">
      <alignment wrapText="1"/>
    </xf>
    <xf numFmtId="164" fontId="3" fillId="0" borderId="25" xfId="4" applyNumberFormat="1" applyBorder="1" applyAlignment="1">
      <alignment wrapText="1"/>
    </xf>
    <xf numFmtId="0" fontId="3" fillId="0" borderId="36" xfId="4" applyBorder="1" applyAlignment="1">
      <alignment wrapText="1"/>
    </xf>
    <xf numFmtId="164" fontId="3" fillId="0" borderId="36" xfId="4" applyNumberFormat="1" applyBorder="1" applyAlignment="1">
      <alignment wrapText="1"/>
    </xf>
    <xf numFmtId="1" fontId="3" fillId="0" borderId="14" xfId="4" applyNumberFormat="1" applyBorder="1" applyAlignment="1">
      <alignment wrapText="1"/>
    </xf>
    <xf numFmtId="1" fontId="3" fillId="0" borderId="26" xfId="4" applyNumberFormat="1" applyBorder="1" applyAlignment="1">
      <alignment wrapText="1"/>
    </xf>
    <xf numFmtId="0" fontId="3" fillId="0" borderId="16" xfId="4" applyBorder="1" applyAlignment="1">
      <alignment horizontal="right"/>
    </xf>
    <xf numFmtId="0" fontId="3" fillId="0" borderId="16" xfId="4" applyBorder="1"/>
    <xf numFmtId="0" fontId="3" fillId="0" borderId="23" xfId="4" applyBorder="1"/>
    <xf numFmtId="1" fontId="3" fillId="0" borderId="36" xfId="4" applyNumberFormat="1" applyBorder="1"/>
    <xf numFmtId="1" fontId="3" fillId="0" borderId="38" xfId="4" applyNumberFormat="1" applyBorder="1"/>
    <xf numFmtId="164" fontId="3" fillId="0" borderId="36" xfId="4" applyNumberFormat="1" applyBorder="1"/>
    <xf numFmtId="1" fontId="3" fillId="0" borderId="23" xfId="4" applyNumberFormat="1" applyBorder="1"/>
    <xf numFmtId="0" fontId="3" fillId="0" borderId="0" xfId="4" applyAlignment="1">
      <alignment horizontal="right"/>
    </xf>
    <xf numFmtId="1" fontId="3" fillId="0" borderId="29" xfId="4" applyNumberFormat="1" applyBorder="1"/>
    <xf numFmtId="164" fontId="3" fillId="0" borderId="22" xfId="4" applyNumberFormat="1" applyBorder="1"/>
    <xf numFmtId="49" fontId="3" fillId="0" borderId="13" xfId="4" applyNumberFormat="1" applyBorder="1"/>
    <xf numFmtId="1" fontId="3" fillId="0" borderId="33" xfId="4" applyNumberFormat="1" applyBorder="1"/>
    <xf numFmtId="164" fontId="3" fillId="0" borderId="41" xfId="4" applyNumberFormat="1" applyBorder="1" applyAlignment="1">
      <alignment wrapText="1"/>
    </xf>
    <xf numFmtId="0" fontId="3" fillId="0" borderId="40" xfId="4" applyBorder="1" applyAlignment="1">
      <alignment wrapText="1"/>
    </xf>
    <xf numFmtId="0" fontId="23" fillId="0" borderId="0" xfId="0" applyFont="1"/>
    <xf numFmtId="0" fontId="0" fillId="0" borderId="17" xfId="0" applyBorder="1"/>
    <xf numFmtId="0" fontId="0" fillId="2" borderId="15" xfId="0" applyFill="1" applyBorder="1" applyProtection="1">
      <protection locked="0"/>
    </xf>
    <xf numFmtId="0" fontId="0" fillId="0" borderId="23" xfId="0" applyBorder="1"/>
    <xf numFmtId="0" fontId="0" fillId="0" borderId="13" xfId="0" applyBorder="1"/>
    <xf numFmtId="0" fontId="0" fillId="0" borderId="22" xfId="0" applyBorder="1"/>
    <xf numFmtId="1" fontId="0" fillId="2" borderId="1" xfId="0" applyNumberFormat="1" applyFill="1" applyBorder="1" applyProtection="1">
      <protection locked="0"/>
    </xf>
    <xf numFmtId="0" fontId="0" fillId="0" borderId="12" xfId="0" applyBorder="1"/>
    <xf numFmtId="0" fontId="0" fillId="2" borderId="10" xfId="0" applyFill="1" applyBorder="1" applyProtection="1">
      <protection locked="0"/>
    </xf>
    <xf numFmtId="0" fontId="0" fillId="0" borderId="21" xfId="0" applyBorder="1"/>
    <xf numFmtId="0" fontId="0" fillId="0" borderId="44" xfId="0" applyBorder="1"/>
    <xf numFmtId="0" fontId="0" fillId="2" borderId="27" xfId="0" applyFill="1" applyBorder="1" applyProtection="1">
      <protection locked="0"/>
    </xf>
    <xf numFmtId="164" fontId="0" fillId="2" borderId="1" xfId="0" applyNumberFormat="1" applyFill="1" applyBorder="1" applyProtection="1">
      <protection locked="0"/>
    </xf>
    <xf numFmtId="0" fontId="0" fillId="0" borderId="45" xfId="0" applyBorder="1"/>
    <xf numFmtId="0" fontId="0" fillId="0" borderId="46" xfId="0" applyBorder="1"/>
    <xf numFmtId="0" fontId="0" fillId="0" borderId="47" xfId="0" applyBorder="1"/>
    <xf numFmtId="0" fontId="0" fillId="0" borderId="48" xfId="0" applyBorder="1"/>
    <xf numFmtId="164" fontId="5" fillId="0" borderId="0" xfId="0" applyNumberFormat="1" applyFont="1"/>
    <xf numFmtId="0" fontId="0" fillId="0" borderId="0" xfId="0" quotePrefix="1"/>
    <xf numFmtId="0" fontId="0" fillId="0" borderId="0" xfId="0" applyAlignment="1">
      <alignment wrapText="1"/>
    </xf>
    <xf numFmtId="0" fontId="24" fillId="0" borderId="0" xfId="0" applyFont="1" applyAlignment="1">
      <alignment horizontal="right"/>
    </xf>
    <xf numFmtId="0" fontId="25" fillId="0" borderId="0" xfId="0" applyFont="1"/>
    <xf numFmtId="0" fontId="0" fillId="0" borderId="44" xfId="0" applyBorder="1" applyAlignment="1">
      <alignment wrapText="1"/>
    </xf>
    <xf numFmtId="164" fontId="0" fillId="0" borderId="1" xfId="0" applyNumberFormat="1" applyBorder="1"/>
    <xf numFmtId="0" fontId="0" fillId="0" borderId="1" xfId="0" applyBorder="1"/>
    <xf numFmtId="1" fontId="0" fillId="2" borderId="15" xfId="0" applyNumberFormat="1" applyFill="1" applyBorder="1" applyProtection="1">
      <protection locked="0"/>
    </xf>
    <xf numFmtId="0" fontId="0" fillId="0" borderId="49" xfId="0" applyBorder="1"/>
    <xf numFmtId="164" fontId="0" fillId="2" borderId="10" xfId="0" applyNumberFormat="1" applyFill="1" applyBorder="1" applyProtection="1">
      <protection locked="0"/>
    </xf>
    <xf numFmtId="0" fontId="0" fillId="0" borderId="12" xfId="0" quotePrefix="1" applyBorder="1"/>
    <xf numFmtId="0" fontId="0" fillId="0" borderId="13" xfId="0" quotePrefix="1" applyBorder="1"/>
    <xf numFmtId="0" fontId="0" fillId="0" borderId="34" xfId="0" applyBorder="1"/>
    <xf numFmtId="0" fontId="0" fillId="0" borderId="30" xfId="0" applyBorder="1"/>
    <xf numFmtId="0" fontId="0" fillId="0" borderId="36" xfId="0" applyBorder="1"/>
    <xf numFmtId="164" fontId="5" fillId="0" borderId="1" xfId="0" applyNumberFormat="1" applyFont="1" applyBorder="1"/>
    <xf numFmtId="0" fontId="0" fillId="0" borderId="27" xfId="0" applyBorder="1"/>
    <xf numFmtId="0" fontId="0" fillId="0" borderId="50" xfId="0" applyBorder="1"/>
    <xf numFmtId="0" fontId="0" fillId="0" borderId="51" xfId="0" applyBorder="1"/>
    <xf numFmtId="0" fontId="0" fillId="2" borderId="52" xfId="0" applyFill="1" applyBorder="1" applyProtection="1">
      <protection locked="0"/>
    </xf>
    <xf numFmtId="1" fontId="5" fillId="0" borderId="32" xfId="0" applyNumberFormat="1" applyFont="1" applyBorder="1"/>
    <xf numFmtId="1" fontId="5" fillId="0" borderId="10" xfId="0" applyNumberFormat="1" applyFont="1" applyBorder="1"/>
    <xf numFmtId="0" fontId="5" fillId="0" borderId="48" xfId="0" applyFont="1" applyBorder="1"/>
    <xf numFmtId="164" fontId="5" fillId="0" borderId="53" xfId="0" applyNumberFormat="1" applyFont="1" applyBorder="1"/>
    <xf numFmtId="164" fontId="5" fillId="0" borderId="52" xfId="0" applyNumberFormat="1" applyFont="1" applyBorder="1"/>
    <xf numFmtId="0" fontId="5" fillId="0" borderId="54" xfId="0" applyFont="1" applyBorder="1"/>
    <xf numFmtId="164" fontId="5" fillId="0" borderId="31" xfId="0" applyNumberFormat="1" applyFont="1" applyBorder="1"/>
    <xf numFmtId="0" fontId="5" fillId="0" borderId="47" xfId="0" applyFont="1" applyBorder="1"/>
    <xf numFmtId="1" fontId="5" fillId="0" borderId="31" xfId="0" applyNumberFormat="1" applyFont="1" applyBorder="1"/>
    <xf numFmtId="1" fontId="5" fillId="0" borderId="1" xfId="0" applyNumberFormat="1" applyFont="1" applyBorder="1"/>
    <xf numFmtId="0" fontId="5" fillId="0" borderId="35" xfId="0" applyFont="1" applyBorder="1"/>
    <xf numFmtId="0" fontId="5" fillId="0" borderId="15" xfId="0" applyFont="1" applyBorder="1"/>
    <xf numFmtId="0" fontId="5" fillId="0" borderId="49" xfId="0" applyFont="1" applyBorder="1"/>
    <xf numFmtId="0" fontId="0" fillId="0" borderId="11" xfId="0" applyBorder="1"/>
    <xf numFmtId="0" fontId="5" fillId="0" borderId="11" xfId="0" applyFont="1" applyBorder="1"/>
    <xf numFmtId="1" fontId="5" fillId="0" borderId="11" xfId="0" applyNumberFormat="1" applyFont="1" applyBorder="1"/>
    <xf numFmtId="0" fontId="5" fillId="0" borderId="12" xfId="0" applyFont="1" applyBorder="1"/>
    <xf numFmtId="0" fontId="5" fillId="0" borderId="13" xfId="0" applyFont="1" applyBorder="1"/>
    <xf numFmtId="0" fontId="13" fillId="0" borderId="0" xfId="3" applyFill="1" applyBorder="1" applyProtection="1">
      <protection locked="0"/>
    </xf>
    <xf numFmtId="0" fontId="13" fillId="4" borderId="1" xfId="3" applyBorder="1" applyProtection="1">
      <protection locked="0"/>
    </xf>
    <xf numFmtId="0" fontId="0" fillId="0" borderId="42" xfId="0" applyBorder="1"/>
    <xf numFmtId="0" fontId="4" fillId="0" borderId="22" xfId="0" applyFont="1" applyBorder="1"/>
    <xf numFmtId="0" fontId="13" fillId="4" borderId="55" xfId="3" applyBorder="1" applyProtection="1">
      <protection locked="0"/>
    </xf>
    <xf numFmtId="0" fontId="4" fillId="0" borderId="13" xfId="0" applyFont="1" applyBorder="1"/>
    <xf numFmtId="0" fontId="4" fillId="0" borderId="6" xfId="0" applyFont="1" applyBorder="1"/>
    <xf numFmtId="164" fontId="13" fillId="4" borderId="55" xfId="3" applyNumberFormat="1" applyBorder="1" applyProtection="1">
      <protection locked="0"/>
    </xf>
    <xf numFmtId="164" fontId="13" fillId="4" borderId="43" xfId="3" applyNumberFormat="1" applyBorder="1" applyProtection="1">
      <protection locked="0"/>
    </xf>
    <xf numFmtId="0" fontId="4" fillId="0" borderId="4" xfId="0" applyFont="1" applyBorder="1"/>
    <xf numFmtId="0" fontId="13" fillId="4" borderId="56" xfId="3" applyBorder="1" applyProtection="1">
      <protection locked="0"/>
    </xf>
    <xf numFmtId="0" fontId="4" fillId="0" borderId="57" xfId="0" applyFont="1" applyBorder="1"/>
    <xf numFmtId="0" fontId="7" fillId="0" borderId="13" xfId="0" applyFont="1" applyBorder="1"/>
    <xf numFmtId="0" fontId="13" fillId="4" borderId="58" xfId="3" applyBorder="1" applyProtection="1">
      <protection locked="0"/>
    </xf>
    <xf numFmtId="1" fontId="0" fillId="0" borderId="11" xfId="0" applyNumberFormat="1" applyBorder="1"/>
    <xf numFmtId="0" fontId="13" fillId="4" borderId="52" xfId="3" applyBorder="1" applyProtection="1">
      <protection locked="0"/>
    </xf>
    <xf numFmtId="164" fontId="13" fillId="4" borderId="1" xfId="3" applyNumberFormat="1" applyBorder="1" applyProtection="1">
      <protection locked="0"/>
    </xf>
    <xf numFmtId="0" fontId="0" fillId="0" borderId="16" xfId="0" applyBorder="1"/>
    <xf numFmtId="0" fontId="23" fillId="0" borderId="17" xfId="0" applyFont="1" applyBorder="1"/>
    <xf numFmtId="0" fontId="7" fillId="0" borderId="17" xfId="0" applyFont="1" applyBorder="1"/>
    <xf numFmtId="0" fontId="4" fillId="0" borderId="11" xfId="0" applyFont="1" applyBorder="1"/>
    <xf numFmtId="0" fontId="13" fillId="4" borderId="10" xfId="3" applyBorder="1" applyProtection="1">
      <protection locked="0"/>
    </xf>
    <xf numFmtId="0" fontId="4" fillId="0" borderId="12" xfId="0" applyFont="1" applyBorder="1"/>
    <xf numFmtId="0" fontId="4" fillId="0" borderId="23" xfId="0" applyFont="1" applyBorder="1"/>
    <xf numFmtId="164" fontId="0" fillId="0" borderId="16" xfId="0" applyNumberFormat="1" applyBorder="1"/>
    <xf numFmtId="0" fontId="4" fillId="0" borderId="16" xfId="0" applyFont="1" applyBorder="1"/>
    <xf numFmtId="0" fontId="13" fillId="4" borderId="15" xfId="3" applyBorder="1" applyProtection="1">
      <protection locked="0"/>
    </xf>
    <xf numFmtId="0" fontId="4" fillId="0" borderId="17" xfId="0" applyFont="1" applyBorder="1"/>
    <xf numFmtId="164" fontId="4" fillId="0" borderId="11" xfId="0" applyNumberFormat="1" applyFont="1" applyBorder="1"/>
    <xf numFmtId="164" fontId="0" fillId="0" borderId="11" xfId="0" applyNumberFormat="1" applyBorder="1"/>
    <xf numFmtId="0" fontId="13" fillId="4" borderId="43" xfId="3" applyBorder="1" applyProtection="1">
      <protection locked="0"/>
    </xf>
    <xf numFmtId="164" fontId="4" fillId="0" borderId="0" xfId="0" applyNumberFormat="1" applyFont="1"/>
    <xf numFmtId="1" fontId="13" fillId="4" borderId="1" xfId="3" applyNumberFormat="1" applyBorder="1" applyProtection="1">
      <protection locked="0"/>
    </xf>
    <xf numFmtId="0" fontId="27" fillId="0" borderId="17" xfId="0" applyFont="1" applyBorder="1"/>
    <xf numFmtId="0" fontId="5" fillId="0" borderId="0" xfId="0" applyFont="1" applyAlignment="1">
      <alignment vertical="top" wrapText="1"/>
    </xf>
    <xf numFmtId="164" fontId="28" fillId="0" borderId="0" xfId="0" applyNumberFormat="1" applyFont="1"/>
    <xf numFmtId="164" fontId="5" fillId="0" borderId="11" xfId="0" applyNumberFormat="1" applyFont="1" applyBorder="1"/>
    <xf numFmtId="0" fontId="13" fillId="0" borderId="59" xfId="3" applyFill="1" applyBorder="1" applyProtection="1">
      <protection locked="0"/>
    </xf>
    <xf numFmtId="0" fontId="13" fillId="4" borderId="60" xfId="3" applyBorder="1" applyProtection="1">
      <protection locked="0"/>
    </xf>
    <xf numFmtId="9" fontId="0" fillId="0" borderId="0" xfId="0" applyNumberFormat="1"/>
    <xf numFmtId="0" fontId="2" fillId="0" borderId="0" xfId="5"/>
    <xf numFmtId="2" fontId="2" fillId="0" borderId="0" xfId="5" applyNumberFormat="1"/>
    <xf numFmtId="1" fontId="2" fillId="0" borderId="0" xfId="5" applyNumberFormat="1"/>
    <xf numFmtId="9" fontId="2" fillId="0" borderId="0" xfId="5" applyNumberFormat="1"/>
    <xf numFmtId="0" fontId="2" fillId="0" borderId="21" xfId="5" applyBorder="1"/>
    <xf numFmtId="164" fontId="2" fillId="0" borderId="11" xfId="5" applyNumberFormat="1" applyBorder="1"/>
    <xf numFmtId="0" fontId="2" fillId="0" borderId="11" xfId="5" applyBorder="1"/>
    <xf numFmtId="0" fontId="2" fillId="0" borderId="12" xfId="5" applyBorder="1"/>
    <xf numFmtId="0" fontId="2" fillId="0" borderId="22" xfId="5" applyBorder="1"/>
    <xf numFmtId="164" fontId="2" fillId="0" borderId="0" xfId="5" applyNumberFormat="1"/>
    <xf numFmtId="9" fontId="2" fillId="2" borderId="1" xfId="5" applyNumberFormat="1" applyFill="1" applyBorder="1" applyProtection="1">
      <protection locked="0"/>
    </xf>
    <xf numFmtId="0" fontId="2" fillId="0" borderId="13" xfId="5" applyBorder="1"/>
    <xf numFmtId="0" fontId="2" fillId="0" borderId="23" xfId="5" applyBorder="1"/>
    <xf numFmtId="0" fontId="14" fillId="0" borderId="16" xfId="5" applyFont="1" applyBorder="1"/>
    <xf numFmtId="0" fontId="2" fillId="0" borderId="16" xfId="5" applyBorder="1"/>
    <xf numFmtId="0" fontId="14" fillId="0" borderId="17" xfId="5" applyFont="1" applyBorder="1"/>
    <xf numFmtId="9" fontId="0" fillId="0" borderId="11" xfId="6" applyFont="1" applyBorder="1"/>
    <xf numFmtId="0" fontId="2" fillId="2" borderId="1" xfId="5" applyFill="1" applyBorder="1" applyProtection="1">
      <protection locked="0"/>
    </xf>
    <xf numFmtId="0" fontId="2" fillId="2" borderId="34" xfId="5" applyFill="1" applyBorder="1" applyProtection="1">
      <protection locked="0"/>
    </xf>
    <xf numFmtId="0" fontId="2" fillId="0" borderId="0" xfId="5" applyAlignment="1">
      <alignment wrapText="1"/>
    </xf>
    <xf numFmtId="0" fontId="14" fillId="0" borderId="0" xfId="5" applyFont="1"/>
    <xf numFmtId="0" fontId="26" fillId="0" borderId="0" xfId="0" applyFont="1" applyAlignment="1">
      <alignment vertical="top" wrapText="1"/>
    </xf>
    <xf numFmtId="0" fontId="26" fillId="0" borderId="0" xfId="0" applyFont="1" applyAlignment="1">
      <alignment horizontal="left" vertical="top" wrapText="1"/>
    </xf>
    <xf numFmtId="0" fontId="5" fillId="0" borderId="0" xfId="0" applyFont="1" applyAlignment="1">
      <alignment horizontal="left" vertical="top" wrapText="1"/>
    </xf>
    <xf numFmtId="0" fontId="0" fillId="0" borderId="0" xfId="0" applyAlignment="1">
      <alignment horizontal="left" vertical="top" wrapText="1"/>
    </xf>
    <xf numFmtId="0" fontId="26" fillId="0" borderId="0" xfId="0" applyFont="1" applyAlignment="1">
      <alignment horizontal="left" wrapText="1"/>
    </xf>
    <xf numFmtId="0" fontId="2" fillId="0" borderId="0" xfId="4" applyFont="1" applyAlignment="1">
      <alignment horizontal="left" vertical="top" wrapText="1"/>
    </xf>
    <xf numFmtId="0" fontId="30" fillId="0" borderId="0" xfId="0" applyFont="1" applyAlignment="1">
      <alignment vertical="center"/>
    </xf>
    <xf numFmtId="0" fontId="31" fillId="0" borderId="0" xfId="0" applyFont="1" applyAlignment="1">
      <alignment vertical="top" wrapText="1"/>
    </xf>
    <xf numFmtId="0" fontId="32" fillId="0" borderId="0" xfId="0" applyFont="1" applyAlignment="1">
      <alignment horizontal="left" vertical="top" wrapText="1"/>
    </xf>
    <xf numFmtId="0" fontId="32" fillId="0" borderId="0" xfId="0" applyFont="1"/>
    <xf numFmtId="0" fontId="32" fillId="0" borderId="0" xfId="0" applyFont="1" applyAlignment="1">
      <alignment horizontal="left" vertical="center" indent="4"/>
    </xf>
    <xf numFmtId="0" fontId="29" fillId="0" borderId="0" xfId="7"/>
    <xf numFmtId="0" fontId="34" fillId="0" borderId="0" xfId="5" applyFont="1" applyAlignment="1">
      <alignment vertical="top" wrapText="1"/>
    </xf>
    <xf numFmtId="0" fontId="2" fillId="2" borderId="10" xfId="5" applyFill="1" applyBorder="1" applyProtection="1">
      <protection locked="0"/>
    </xf>
    <xf numFmtId="0" fontId="5" fillId="0" borderId="17" xfId="0" applyFont="1" applyBorder="1"/>
    <xf numFmtId="164" fontId="5" fillId="0" borderId="16" xfId="0" applyNumberFormat="1" applyFont="1" applyBorder="1"/>
    <xf numFmtId="0" fontId="5" fillId="0" borderId="16" xfId="0" applyFont="1" applyBorder="1"/>
    <xf numFmtId="0" fontId="5" fillId="0" borderId="23" xfId="0" applyFont="1" applyBorder="1"/>
    <xf numFmtId="0" fontId="5" fillId="0" borderId="21" xfId="0" applyFont="1" applyBorder="1"/>
    <xf numFmtId="0" fontId="0" fillId="0" borderId="0" xfId="0" applyBorder="1"/>
    <xf numFmtId="0" fontId="13" fillId="4" borderId="15" xfId="3" applyBorder="1" applyAlignment="1" applyProtection="1">
      <alignment horizontal="right" vertical="top" wrapText="1"/>
      <protection locked="0"/>
    </xf>
    <xf numFmtId="0" fontId="13" fillId="4" borderId="1" xfId="3" applyBorder="1" applyAlignment="1" applyProtection="1">
      <alignment horizontal="right" vertical="top" wrapText="1"/>
      <protection locked="0"/>
    </xf>
    <xf numFmtId="9" fontId="13" fillId="4" borderId="1" xfId="3" applyNumberFormat="1" applyBorder="1" applyAlignment="1" applyProtection="1">
      <alignment horizontal="right" vertical="top" wrapText="1"/>
      <protection locked="0"/>
    </xf>
    <xf numFmtId="9" fontId="13" fillId="4" borderId="1" xfId="3" applyNumberFormat="1" applyBorder="1" applyProtection="1">
      <protection locked="0"/>
    </xf>
    <xf numFmtId="1" fontId="13" fillId="4" borderId="10" xfId="3" applyNumberFormat="1" applyBorder="1" applyProtection="1">
      <protection locked="0"/>
    </xf>
    <xf numFmtId="9" fontId="13" fillId="4" borderId="10" xfId="3" applyNumberFormat="1" applyBorder="1" applyProtection="1">
      <protection locked="0"/>
    </xf>
    <xf numFmtId="164" fontId="13" fillId="4" borderId="27" xfId="3" applyNumberFormat="1" applyBorder="1" applyProtection="1">
      <protection locked="0"/>
    </xf>
    <xf numFmtId="0" fontId="13" fillId="4" borderId="27" xfId="3" applyBorder="1" applyProtection="1">
      <protection locked="0"/>
    </xf>
    <xf numFmtId="0" fontId="13" fillId="4" borderId="28" xfId="3" applyBorder="1" applyProtection="1">
      <protection locked="0"/>
    </xf>
    <xf numFmtId="0" fontId="13" fillId="4" borderId="31" xfId="3" applyBorder="1" applyProtection="1">
      <protection locked="0"/>
    </xf>
    <xf numFmtId="164" fontId="13" fillId="4" borderId="10" xfId="3" applyNumberFormat="1" applyBorder="1" applyProtection="1">
      <protection locked="0"/>
    </xf>
    <xf numFmtId="0" fontId="13" fillId="4" borderId="32" xfId="3" applyBorder="1" applyProtection="1">
      <protection locked="0"/>
    </xf>
    <xf numFmtId="0" fontId="34" fillId="0" borderId="0" xfId="4" applyFont="1" applyAlignment="1">
      <alignment horizontal="left" vertical="top" wrapText="1"/>
    </xf>
    <xf numFmtId="0" fontId="13" fillId="4" borderId="42" xfId="3" applyBorder="1" applyProtection="1">
      <protection locked="0"/>
    </xf>
    <xf numFmtId="0" fontId="13" fillId="4" borderId="37" xfId="3" applyBorder="1" applyProtection="1">
      <protection locked="0"/>
    </xf>
    <xf numFmtId="0" fontId="13" fillId="4" borderId="39" xfId="3" applyBorder="1" applyProtection="1">
      <protection locked="0"/>
    </xf>
    <xf numFmtId="9" fontId="13" fillId="4" borderId="31" xfId="3" applyNumberFormat="1" applyBorder="1" applyProtection="1">
      <protection locked="0"/>
    </xf>
    <xf numFmtId="9" fontId="13" fillId="4" borderId="32" xfId="3" applyNumberFormat="1" applyBorder="1" applyProtection="1">
      <protection locked="0"/>
    </xf>
  </cellXfs>
  <cellStyles count="8">
    <cellStyle name="Good" xfId="3" builtinId="26"/>
    <cellStyle name="Hyperlink" xfId="7" builtinId="8"/>
    <cellStyle name="Normal" xfId="0" builtinId="0"/>
    <cellStyle name="Normal 2" xfId="1" xr:uid="{00000000-0005-0000-0000-000001000000}"/>
    <cellStyle name="Normal 3" xfId="2" xr:uid="{00000000-0005-0000-0000-000002000000}"/>
    <cellStyle name="Normal 4" xfId="4" xr:uid="{F033EE06-2F07-49F3-BFBB-93DB0DB17946}"/>
    <cellStyle name="Normal 5" xfId="5" xr:uid="{65C20F51-229A-4EFD-B3FC-1503DF2B80D4}"/>
    <cellStyle name="Percent 2" xfId="6" xr:uid="{87AD954E-65A0-4793-BF3F-A0AEDEF06AA2}"/>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Poutapäivämäärän todennäköisyys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Poutapäivät!$C$25:$C$58</c:f>
              <c:numCache>
                <c:formatCode>General</c:formatCode>
                <c:ptCount val="34"/>
              </c:numCache>
            </c:numRef>
          </c:xVal>
          <c:yVal>
            <c:numRef>
              <c:f>Poutapäivät!$D$25:$D$58</c:f>
              <c:numCache>
                <c:formatCode>General</c:formatCode>
                <c:ptCount val="34"/>
              </c:numCache>
            </c:numRef>
          </c:yVal>
          <c:smooth val="1"/>
          <c:extLst>
            <c:ext xmlns:c16="http://schemas.microsoft.com/office/drawing/2014/chart" uri="{C3380CC4-5D6E-409C-BE32-E72D297353CC}">
              <c16:uniqueId val="{00000000-C247-448A-BE57-5D41276F7A20}"/>
            </c:ext>
          </c:extLst>
        </c:ser>
        <c:ser>
          <c:idx val="1"/>
          <c:order val="1"/>
          <c:spPr>
            <a:ln w="19050" cap="rnd">
              <a:solidFill>
                <a:schemeClr val="accent2"/>
              </a:solidFill>
              <a:round/>
            </a:ln>
            <a:effectLst/>
          </c:spPr>
          <c:marker>
            <c:symbol val="none"/>
          </c:marker>
          <c:xVal>
            <c:numRef>
              <c:f>Poutapäivät!$Q$21:$Q$50</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xVal>
          <c:yVal>
            <c:numRef>
              <c:f>Poutapäivät!$R$21:$R$50</c:f>
              <c:numCache>
                <c:formatCode>0.00</c:formatCode>
                <c:ptCount val="30"/>
                <c:pt idx="0">
                  <c:v>0.99726339821375587</c:v>
                </c:pt>
                <c:pt idx="1">
                  <c:v>0.99379033467422384</c:v>
                </c:pt>
                <c:pt idx="2">
                  <c:v>0.98686585430897888</c:v>
                </c:pt>
                <c:pt idx="3">
                  <c:v>0.97407906064215699</c:v>
                </c:pt>
                <c:pt idx="4">
                  <c:v>0.9522096477271853</c:v>
                </c:pt>
                <c:pt idx="5">
                  <c:v>0.9175667301260455</c:v>
                </c:pt>
                <c:pt idx="6">
                  <c:v>0.86673973709749452</c:v>
                </c:pt>
                <c:pt idx="7">
                  <c:v>0.79767161903635697</c:v>
                </c:pt>
                <c:pt idx="8">
                  <c:v>0.7107426392460281</c:v>
                </c:pt>
                <c:pt idx="9">
                  <c:v>0.60940852456642502</c:v>
                </c:pt>
                <c:pt idx="10">
                  <c:v>0.5</c:v>
                </c:pt>
                <c:pt idx="11">
                  <c:v>0.39059147543357498</c:v>
                </c:pt>
                <c:pt idx="12">
                  <c:v>0.2892573607539719</c:v>
                </c:pt>
                <c:pt idx="13">
                  <c:v>0.20232838096364303</c:v>
                </c:pt>
                <c:pt idx="14">
                  <c:v>0.13326026290250548</c:v>
                </c:pt>
                <c:pt idx="15">
                  <c:v>8.2433269873954496E-2</c:v>
                </c:pt>
                <c:pt idx="16">
                  <c:v>4.7790352272814696E-2</c:v>
                </c:pt>
                <c:pt idx="17">
                  <c:v>2.5920939357843009E-2</c:v>
                </c:pt>
                <c:pt idx="18">
                  <c:v>1.3134145691021115E-2</c:v>
                </c:pt>
                <c:pt idx="19">
                  <c:v>6.2096653257761592E-3</c:v>
                </c:pt>
                <c:pt idx="20">
                  <c:v>2.7366017862441305E-3</c:v>
                </c:pt>
                <c:pt idx="21">
                  <c:v>1.1232199025031919E-3</c:v>
                </c:pt>
                <c:pt idx="22">
                  <c:v>4.290603331967846E-4</c:v>
                </c:pt>
                <c:pt idx="23">
                  <c:v>1.5244399873548531E-4</c:v>
                </c:pt>
                <c:pt idx="24">
                  <c:v>5.0352102926809472E-5</c:v>
                </c:pt>
                <c:pt idx="25">
                  <c:v>1.545429688232236E-5</c:v>
                </c:pt>
                <c:pt idx="26">
                  <c:v>4.4059637025473108E-6</c:v>
                </c:pt>
                <c:pt idx="27">
                  <c:v>1.1664079259121607E-6</c:v>
                </c:pt>
                <c:pt idx="28">
                  <c:v>2.8665157192353519E-7</c:v>
                </c:pt>
                <c:pt idx="29">
                  <c:v>6.5379949898414225E-8</c:v>
                </c:pt>
              </c:numCache>
            </c:numRef>
          </c:yVal>
          <c:smooth val="1"/>
          <c:extLst>
            <c:ext xmlns:c16="http://schemas.microsoft.com/office/drawing/2014/chart" uri="{C3380CC4-5D6E-409C-BE32-E72D297353CC}">
              <c16:uniqueId val="{00000000-E557-4CAE-A4A2-C85CD6B1C176}"/>
            </c:ext>
          </c:extLst>
        </c:ser>
        <c:dLbls>
          <c:showLegendKey val="0"/>
          <c:showVal val="0"/>
          <c:showCatName val="0"/>
          <c:showSerName val="0"/>
          <c:showPercent val="0"/>
          <c:showBubbleSize val="0"/>
        </c:dLbls>
        <c:axId val="839715080"/>
        <c:axId val="839714720"/>
      </c:scatterChart>
      <c:valAx>
        <c:axId val="839715080"/>
        <c:scaling>
          <c:orientation val="minMax"/>
          <c:max val="3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i-FI"/>
                  <a:t>Poutapäiviä</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39714720"/>
        <c:crosses val="autoZero"/>
        <c:crossBetween val="midCat"/>
      </c:valAx>
      <c:valAx>
        <c:axId val="839714720"/>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i-FI"/>
                  <a:t>Todennäköisyys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39715080"/>
        <c:crosses val="autoZero"/>
        <c:crossBetween val="midCat"/>
      </c:valAx>
      <c:spPr>
        <a:noFill/>
        <a:ln>
          <a:noFill/>
        </a:ln>
        <a:effectLst/>
      </c:spPr>
    </c:plotArea>
    <c:plotVisOnly val="0"/>
    <c:dispBlanksAs val="span"/>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2A2-4C32-8B93-244E36B4034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2A2-4C32-8B93-244E36B4034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2A2-4C32-8B93-244E36B4034B}"/>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Noukinvaunu!$D$59:$G$59</c:f>
              <c:strCache>
                <c:ptCount val="4"/>
                <c:pt idx="0">
                  <c:v>Niitto </c:v>
                </c:pt>
                <c:pt idx="1">
                  <c:v>Esikuivaus</c:v>
                </c:pt>
                <c:pt idx="2">
                  <c:v>Karhotus</c:v>
                </c:pt>
                <c:pt idx="3">
                  <c:v>Korjuu ja kuljetus</c:v>
                </c:pt>
              </c:strCache>
            </c:strRef>
          </c:cat>
          <c:val>
            <c:numRef>
              <c:f>Noukinvaunu!$D$61:$F$61</c:f>
              <c:numCache>
                <c:formatCode>0.0</c:formatCode>
                <c:ptCount val="3"/>
                <c:pt idx="0">
                  <c:v>8.0996581944241957</c:v>
                </c:pt>
                <c:pt idx="1">
                  <c:v>5</c:v>
                </c:pt>
                <c:pt idx="2">
                  <c:v>4.8597949166545185</c:v>
                </c:pt>
              </c:numCache>
            </c:numRef>
          </c:val>
          <c:extLst>
            <c:ext xmlns:c16="http://schemas.microsoft.com/office/drawing/2014/chart" uri="{C3380CC4-5D6E-409C-BE32-E72D297353CC}">
              <c16:uniqueId val="{00000006-A2A2-4C32-8B93-244E36B4034B}"/>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1-CBD9-4A60-BADB-0BB5748E950C}"/>
              </c:ext>
            </c:extLst>
          </c:dPt>
          <c:dPt>
            <c:idx val="1"/>
            <c:bubble3D val="0"/>
            <c:spPr>
              <a:solidFill>
                <a:schemeClr val="accent4">
                  <a:lumMod val="75000"/>
                </a:schemeClr>
              </a:solidFill>
              <a:ln w="19050">
                <a:solidFill>
                  <a:schemeClr val="lt1"/>
                </a:solidFill>
              </a:ln>
              <a:effectLst/>
            </c:spPr>
            <c:extLst>
              <c:ext xmlns:c16="http://schemas.microsoft.com/office/drawing/2014/chart" uri="{C3380CC4-5D6E-409C-BE32-E72D297353CC}">
                <c16:uniqueId val="{00000003-CBD9-4A60-BADB-0BB5748E950C}"/>
              </c:ext>
            </c:extLst>
          </c:dPt>
          <c:dPt>
            <c:idx val="2"/>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05-CBD9-4A60-BADB-0BB5748E950C}"/>
              </c:ext>
            </c:extLst>
          </c:dPt>
          <c:dPt>
            <c:idx val="3"/>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7-CBD9-4A60-BADB-0BB5748E950C}"/>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Paalain!$D$47:$G$47</c:f>
              <c:strCache>
                <c:ptCount val="4"/>
                <c:pt idx="0">
                  <c:v>Niitto </c:v>
                </c:pt>
                <c:pt idx="1">
                  <c:v>Esikuivaus</c:v>
                </c:pt>
                <c:pt idx="2">
                  <c:v>Karhotus</c:v>
                </c:pt>
                <c:pt idx="3">
                  <c:v>Korjuu</c:v>
                </c:pt>
              </c:strCache>
            </c:strRef>
          </c:cat>
          <c:val>
            <c:numRef>
              <c:f>(Paalain!$D$49,Paalain!$E$49,Paalain!$F$49,Paalain!$G$49)</c:f>
              <c:numCache>
                <c:formatCode>General</c:formatCode>
                <c:ptCount val="4"/>
                <c:pt idx="0" formatCode="0.0">
                  <c:v>4.8597949166545185</c:v>
                </c:pt>
                <c:pt idx="1">
                  <c:v>5</c:v>
                </c:pt>
                <c:pt idx="2" formatCode="0.0">
                  <c:v>0</c:v>
                </c:pt>
                <c:pt idx="3" formatCode="0.0">
                  <c:v>18.090338628526201</c:v>
                </c:pt>
              </c:numCache>
            </c:numRef>
          </c:val>
          <c:extLst>
            <c:ext xmlns:c16="http://schemas.microsoft.com/office/drawing/2014/chart" uri="{C3380CC4-5D6E-409C-BE32-E72D297353CC}">
              <c16:uniqueId val="{00000008-CBD9-4A60-BADB-0BB5748E950C}"/>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Puinti!$C$47:$C$49</c:f>
              <c:strCache>
                <c:ptCount val="3"/>
                <c:pt idx="0">
                  <c:v>Kuivauskapasiteetti</c:v>
                </c:pt>
                <c:pt idx="1">
                  <c:v>Puintikapasiteetti</c:v>
                </c:pt>
                <c:pt idx="2">
                  <c:v>Kuljetuskapasiteetti </c:v>
                </c:pt>
              </c:strCache>
            </c:strRef>
          </c:cat>
          <c:val>
            <c:numRef>
              <c:f>Puinti!$H$47:$H$49</c:f>
              <c:numCache>
                <c:formatCode>0</c:formatCode>
                <c:ptCount val="3"/>
                <c:pt idx="0" formatCode="General">
                  <c:v>50</c:v>
                </c:pt>
                <c:pt idx="1">
                  <c:v>34.827243589743588</c:v>
                </c:pt>
                <c:pt idx="2">
                  <c:v>82.5</c:v>
                </c:pt>
              </c:numCache>
            </c:numRef>
          </c:val>
          <c:extLst>
            <c:ext xmlns:c16="http://schemas.microsoft.com/office/drawing/2014/chart" uri="{C3380CC4-5D6E-409C-BE32-E72D297353CC}">
              <c16:uniqueId val="{00000000-D962-4380-8ACA-4767C71EF4B1}"/>
            </c:ext>
          </c:extLst>
        </c:ser>
        <c:dLbls>
          <c:showLegendKey val="0"/>
          <c:showVal val="0"/>
          <c:showCatName val="0"/>
          <c:showSerName val="0"/>
          <c:showPercent val="0"/>
          <c:showBubbleSize val="0"/>
        </c:dLbls>
        <c:gapWidth val="20"/>
        <c:overlap val="-27"/>
        <c:axId val="8026128"/>
        <c:axId val="8025168"/>
      </c:barChart>
      <c:catAx>
        <c:axId val="8026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025168"/>
        <c:crosses val="autoZero"/>
        <c:auto val="1"/>
        <c:lblAlgn val="ctr"/>
        <c:lblOffset val="100"/>
        <c:noMultiLvlLbl val="0"/>
      </c:catAx>
      <c:valAx>
        <c:axId val="80251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Kapasiteetti m</a:t>
                </a:r>
                <a:r>
                  <a:rPr lang="en-US" b="1" baseline="30000"/>
                  <a:t>3</a:t>
                </a:r>
                <a:r>
                  <a:rPr lang="en-US" b="1"/>
                  <a:t>/vrk</a:t>
                </a:r>
              </a:p>
            </c:rich>
          </c:tx>
          <c:overlay val="0"/>
          <c:spPr>
            <a:noFill/>
            <a:ln>
              <a:noFill/>
            </a:ln>
            <a:effectLst/>
          </c:spPr>
          <c:txPr>
            <a:bodyPr rot="0" spcFirstLastPara="1" vertOverflow="ellipsis"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fi-FI"/>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0261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Äes_1!$N$25</c:f>
              <c:strCache>
                <c:ptCount val="1"/>
                <c:pt idx="0">
                  <c:v>Teoreettinen työsaavutus
 ha/h</c:v>
                </c:pt>
              </c:strCache>
            </c:strRef>
          </c:tx>
          <c:spPr>
            <a:solidFill>
              <a:schemeClr val="accent2">
                <a:lumMod val="75000"/>
              </a:schemeClr>
            </a:solidFill>
            <a:ln>
              <a:solidFill>
                <a:schemeClr val="tx1"/>
              </a:solidFill>
            </a:ln>
            <a:effectLst/>
          </c:spPr>
          <c:invertIfNegative val="0"/>
          <c:cat>
            <c:strRef>
              <c:f>Äes_1!$B$26:$B$37</c:f>
              <c:strCache>
                <c:ptCount val="12"/>
                <c:pt idx="0">
                  <c:v>Kultivaattori, perusmuokkaus, kevyt maa1</c:v>
                </c:pt>
                <c:pt idx="1">
                  <c:v>Kultivaattori, perusmuokkaus, keskiraskas maa1</c:v>
                </c:pt>
                <c:pt idx="2">
                  <c:v>Kultivaattori, perusmuokkaus, raskas maa1</c:v>
                </c:pt>
                <c:pt idx="3">
                  <c:v>Kultivaattori, kylvömuokkaus, kevyt maa1</c:v>
                </c:pt>
                <c:pt idx="4">
                  <c:v>Kultivaattori, kylvömuokkaus, keskiraskas maa1</c:v>
                </c:pt>
                <c:pt idx="5">
                  <c:v>Kultivaattori, kylvömuokkaus, raskas maa1</c:v>
                </c:pt>
                <c:pt idx="6">
                  <c:v>S-piikki, 1. ajokerta, kevyt maa2</c:v>
                </c:pt>
                <c:pt idx="7">
                  <c:v>S-piikki, 1. ajokerta, raskas maa2</c:v>
                </c:pt>
                <c:pt idx="8">
                  <c:v>S-piikki, 2. ajokerta, kevyt maa2</c:v>
                </c:pt>
                <c:pt idx="9">
                  <c:v>S-piikki, 2. ajokerta, raskas maa2</c:v>
                </c:pt>
                <c:pt idx="10">
                  <c:v>S-piikki, 2. ajokerta, kevyt maa3</c:v>
                </c:pt>
                <c:pt idx="11">
                  <c:v>S-piikki, 2. ajokerta, raskas maa3</c:v>
                </c:pt>
              </c:strCache>
            </c:strRef>
          </c:cat>
          <c:val>
            <c:numRef>
              <c:f>Äes_1!$N$26:$N$37</c:f>
              <c:numCache>
                <c:formatCode>0.0</c:formatCode>
                <c:ptCount val="12"/>
                <c:pt idx="0">
                  <c:v>1.44</c:v>
                </c:pt>
                <c:pt idx="1">
                  <c:v>1.44</c:v>
                </c:pt>
                <c:pt idx="2">
                  <c:v>1.44</c:v>
                </c:pt>
                <c:pt idx="3">
                  <c:v>1.7600000000000002</c:v>
                </c:pt>
                <c:pt idx="4">
                  <c:v>1.7600000000000002</c:v>
                </c:pt>
                <c:pt idx="5">
                  <c:v>1.7600000000000002</c:v>
                </c:pt>
                <c:pt idx="6">
                  <c:v>4.1300000000000008</c:v>
                </c:pt>
                <c:pt idx="7">
                  <c:v>4.1300000000000008</c:v>
                </c:pt>
                <c:pt idx="8">
                  <c:v>4.1300000000000008</c:v>
                </c:pt>
                <c:pt idx="9">
                  <c:v>4.1300000000000008</c:v>
                </c:pt>
                <c:pt idx="10">
                  <c:v>5.9</c:v>
                </c:pt>
                <c:pt idx="11">
                  <c:v>5.9</c:v>
                </c:pt>
              </c:numCache>
            </c:numRef>
          </c:val>
          <c:extLst>
            <c:ext xmlns:c16="http://schemas.microsoft.com/office/drawing/2014/chart" uri="{C3380CC4-5D6E-409C-BE32-E72D297353CC}">
              <c16:uniqueId val="{00000000-81A7-4B6C-A8AE-678832A0307A}"/>
            </c:ext>
          </c:extLst>
        </c:ser>
        <c:ser>
          <c:idx val="1"/>
          <c:order val="1"/>
          <c:tx>
            <c:v>Kulutus l/ha</c:v>
          </c:tx>
          <c:spPr>
            <a:solidFill>
              <a:schemeClr val="accent1">
                <a:lumMod val="60000"/>
                <a:lumOff val="40000"/>
              </a:schemeClr>
            </a:solidFill>
            <a:ln>
              <a:solidFill>
                <a:schemeClr val="tx1"/>
              </a:solidFill>
            </a:ln>
            <a:effectLst/>
          </c:spPr>
          <c:invertIfNegative val="0"/>
          <c:cat>
            <c:strRef>
              <c:f>Äes_1!$B$26:$B$37</c:f>
              <c:strCache>
                <c:ptCount val="12"/>
                <c:pt idx="0">
                  <c:v>Kultivaattori, perusmuokkaus, kevyt maa1</c:v>
                </c:pt>
                <c:pt idx="1">
                  <c:v>Kultivaattori, perusmuokkaus, keskiraskas maa1</c:v>
                </c:pt>
                <c:pt idx="2">
                  <c:v>Kultivaattori, perusmuokkaus, raskas maa1</c:v>
                </c:pt>
                <c:pt idx="3">
                  <c:v>Kultivaattori, kylvömuokkaus, kevyt maa1</c:v>
                </c:pt>
                <c:pt idx="4">
                  <c:v>Kultivaattori, kylvömuokkaus, keskiraskas maa1</c:v>
                </c:pt>
                <c:pt idx="5">
                  <c:v>Kultivaattori, kylvömuokkaus, raskas maa1</c:v>
                </c:pt>
                <c:pt idx="6">
                  <c:v>S-piikki, 1. ajokerta, kevyt maa2</c:v>
                </c:pt>
                <c:pt idx="7">
                  <c:v>S-piikki, 1. ajokerta, raskas maa2</c:v>
                </c:pt>
                <c:pt idx="8">
                  <c:v>S-piikki, 2. ajokerta, kevyt maa2</c:v>
                </c:pt>
                <c:pt idx="9">
                  <c:v>S-piikki, 2. ajokerta, raskas maa2</c:v>
                </c:pt>
                <c:pt idx="10">
                  <c:v>S-piikki, 2. ajokerta, kevyt maa3</c:v>
                </c:pt>
                <c:pt idx="11">
                  <c:v>S-piikki, 2. ajokerta, raskas maa3</c:v>
                </c:pt>
              </c:strCache>
            </c:strRef>
          </c:cat>
          <c:val>
            <c:numRef>
              <c:f>Äes_1!$Q$26:$Q$37</c:f>
              <c:numCache>
                <c:formatCode>0.0</c:formatCode>
                <c:ptCount val="12"/>
                <c:pt idx="0">
                  <c:v>12.933043822031872</c:v>
                </c:pt>
                <c:pt idx="1">
                  <c:v>16.723763562972252</c:v>
                </c:pt>
                <c:pt idx="2">
                  <c:v>19.622549247220775</c:v>
                </c:pt>
                <c:pt idx="3">
                  <c:v>3.2453044501237267</c:v>
                </c:pt>
                <c:pt idx="4">
                  <c:v>4.3000283964139383</c:v>
                </c:pt>
                <c:pt idx="5">
                  <c:v>4.9490892864386824</c:v>
                </c:pt>
                <c:pt idx="6">
                  <c:v>5.6742079068673563</c:v>
                </c:pt>
                <c:pt idx="7">
                  <c:v>11.841825196940571</c:v>
                </c:pt>
                <c:pt idx="8">
                  <c:v>3.7005703740439291</c:v>
                </c:pt>
                <c:pt idx="9">
                  <c:v>8.1412548228966433</c:v>
                </c:pt>
                <c:pt idx="10">
                  <c:v>3.6757198284664079</c:v>
                </c:pt>
                <c:pt idx="11">
                  <c:v>8.5766795997549501</c:v>
                </c:pt>
              </c:numCache>
            </c:numRef>
          </c:val>
          <c:extLst>
            <c:ext xmlns:c16="http://schemas.microsoft.com/office/drawing/2014/chart" uri="{C3380CC4-5D6E-409C-BE32-E72D297353CC}">
              <c16:uniqueId val="{00000001-81A7-4B6C-A8AE-678832A0307A}"/>
            </c:ext>
          </c:extLst>
        </c:ser>
        <c:dLbls>
          <c:showLegendKey val="0"/>
          <c:showVal val="0"/>
          <c:showCatName val="0"/>
          <c:showSerName val="0"/>
          <c:showPercent val="0"/>
          <c:showBubbleSize val="0"/>
        </c:dLbls>
        <c:gapWidth val="50"/>
        <c:axId val="560356207"/>
        <c:axId val="560357167"/>
      </c:barChart>
      <c:catAx>
        <c:axId val="56035620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57167"/>
        <c:crosses val="autoZero"/>
        <c:auto val="1"/>
        <c:lblAlgn val="ctr"/>
        <c:lblOffset val="100"/>
        <c:noMultiLvlLbl val="0"/>
      </c:catAx>
      <c:valAx>
        <c:axId val="560357167"/>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56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Äes_1!$I$25</c:f>
              <c:strCache>
                <c:ptCount val="1"/>
                <c:pt idx="0">
                  <c:v>Terien vetovastus 
kN</c:v>
                </c:pt>
              </c:strCache>
            </c:strRef>
          </c:tx>
          <c:spPr>
            <a:solidFill>
              <a:schemeClr val="accent6">
                <a:lumMod val="75000"/>
              </a:schemeClr>
            </a:solidFill>
            <a:ln>
              <a:solidFill>
                <a:schemeClr val="tx1"/>
              </a:solidFill>
            </a:ln>
            <a:effectLst/>
          </c:spPr>
          <c:invertIfNegative val="0"/>
          <c:cat>
            <c:strRef>
              <c:f>Äes_1!$B$26:$B$37</c:f>
              <c:strCache>
                <c:ptCount val="12"/>
                <c:pt idx="0">
                  <c:v>Kultivaattori, perusmuokkaus, kevyt maa1</c:v>
                </c:pt>
                <c:pt idx="1">
                  <c:v>Kultivaattori, perusmuokkaus, keskiraskas maa1</c:v>
                </c:pt>
                <c:pt idx="2">
                  <c:v>Kultivaattori, perusmuokkaus, raskas maa1</c:v>
                </c:pt>
                <c:pt idx="3">
                  <c:v>Kultivaattori, kylvömuokkaus, kevyt maa1</c:v>
                </c:pt>
                <c:pt idx="4">
                  <c:v>Kultivaattori, kylvömuokkaus, keskiraskas maa1</c:v>
                </c:pt>
                <c:pt idx="5">
                  <c:v>Kultivaattori, kylvömuokkaus, raskas maa1</c:v>
                </c:pt>
                <c:pt idx="6">
                  <c:v>S-piikki, 1. ajokerta, kevyt maa2</c:v>
                </c:pt>
                <c:pt idx="7">
                  <c:v>S-piikki, 1. ajokerta, raskas maa2</c:v>
                </c:pt>
                <c:pt idx="8">
                  <c:v>S-piikki, 2. ajokerta, kevyt maa2</c:v>
                </c:pt>
                <c:pt idx="9">
                  <c:v>S-piikki, 2. ajokerta, raskas maa2</c:v>
                </c:pt>
                <c:pt idx="10">
                  <c:v>S-piikki, 2. ajokerta, kevyt maa3</c:v>
                </c:pt>
                <c:pt idx="11">
                  <c:v>S-piikki, 2. ajokerta, raskas maa3</c:v>
                </c:pt>
              </c:strCache>
            </c:strRef>
          </c:cat>
          <c:val>
            <c:numRef>
              <c:f>Äes_1!$I$26:$I$37</c:f>
              <c:numCache>
                <c:formatCode>0.0</c:formatCode>
                <c:ptCount val="12"/>
                <c:pt idx="0">
                  <c:v>11.6</c:v>
                </c:pt>
                <c:pt idx="1">
                  <c:v>15</c:v>
                </c:pt>
                <c:pt idx="2">
                  <c:v>17.600000000000001</c:v>
                </c:pt>
                <c:pt idx="3">
                  <c:v>3.36</c:v>
                </c:pt>
                <c:pt idx="4">
                  <c:v>4.452</c:v>
                </c:pt>
                <c:pt idx="5">
                  <c:v>5.1239999999999997</c:v>
                </c:pt>
                <c:pt idx="6">
                  <c:v>9.6599999999999984</c:v>
                </c:pt>
                <c:pt idx="7">
                  <c:v>20.16</c:v>
                </c:pt>
                <c:pt idx="8">
                  <c:v>6.3</c:v>
                </c:pt>
                <c:pt idx="9">
                  <c:v>13.86</c:v>
                </c:pt>
                <c:pt idx="10">
                  <c:v>7.56</c:v>
                </c:pt>
                <c:pt idx="11">
                  <c:v>17.64</c:v>
                </c:pt>
              </c:numCache>
            </c:numRef>
          </c:val>
          <c:extLst>
            <c:ext xmlns:c16="http://schemas.microsoft.com/office/drawing/2014/chart" uri="{C3380CC4-5D6E-409C-BE32-E72D297353CC}">
              <c16:uniqueId val="{00000000-785E-4BAA-8A49-32C98D411001}"/>
            </c:ext>
          </c:extLst>
        </c:ser>
        <c:ser>
          <c:idx val="1"/>
          <c:order val="1"/>
          <c:tx>
            <c:strRef>
              <c:f>Äes_1!$L$25</c:f>
              <c:strCache>
                <c:ptCount val="1"/>
                <c:pt idx="0">
                  <c:v>Moottoritehon tarve
 kW</c:v>
                </c:pt>
              </c:strCache>
            </c:strRef>
          </c:tx>
          <c:spPr>
            <a:solidFill>
              <a:schemeClr val="accent2"/>
            </a:solidFill>
            <a:ln>
              <a:solidFill>
                <a:schemeClr val="accent1"/>
              </a:solidFill>
            </a:ln>
            <a:effectLst/>
          </c:spPr>
          <c:invertIfNegative val="0"/>
          <c:cat>
            <c:strRef>
              <c:f>Äes_1!$B$26:$B$37</c:f>
              <c:strCache>
                <c:ptCount val="12"/>
                <c:pt idx="0">
                  <c:v>Kultivaattori, perusmuokkaus, kevyt maa1</c:v>
                </c:pt>
                <c:pt idx="1">
                  <c:v>Kultivaattori, perusmuokkaus, keskiraskas maa1</c:v>
                </c:pt>
                <c:pt idx="2">
                  <c:v>Kultivaattori, perusmuokkaus, raskas maa1</c:v>
                </c:pt>
                <c:pt idx="3">
                  <c:v>Kultivaattori, kylvömuokkaus, kevyt maa1</c:v>
                </c:pt>
                <c:pt idx="4">
                  <c:v>Kultivaattori, kylvömuokkaus, keskiraskas maa1</c:v>
                </c:pt>
                <c:pt idx="5">
                  <c:v>Kultivaattori, kylvömuokkaus, raskas maa1</c:v>
                </c:pt>
                <c:pt idx="6">
                  <c:v>S-piikki, 1. ajokerta, kevyt maa2</c:v>
                </c:pt>
                <c:pt idx="7">
                  <c:v>S-piikki, 1. ajokerta, raskas maa2</c:v>
                </c:pt>
                <c:pt idx="8">
                  <c:v>S-piikki, 2. ajokerta, kevyt maa2</c:v>
                </c:pt>
                <c:pt idx="9">
                  <c:v>S-piikki, 2. ajokerta, raskas maa2</c:v>
                </c:pt>
                <c:pt idx="10">
                  <c:v>S-piikki, 2. ajokerta, kevyt maa3</c:v>
                </c:pt>
                <c:pt idx="11">
                  <c:v>S-piikki, 2. ajokerta, raskas maa3</c:v>
                </c:pt>
              </c:strCache>
            </c:strRef>
          </c:cat>
          <c:val>
            <c:numRef>
              <c:f>Äes_1!$L$26:$L$37</c:f>
              <c:numCache>
                <c:formatCode>0</c:formatCode>
                <c:ptCount val="12"/>
                <c:pt idx="0">
                  <c:v>46.372721928277485</c:v>
                </c:pt>
                <c:pt idx="1">
                  <c:v>59.964726631393305</c:v>
                </c:pt>
                <c:pt idx="2">
                  <c:v>70.358612580834816</c:v>
                </c:pt>
                <c:pt idx="3">
                  <c:v>14.222222222222223</c:v>
                </c:pt>
                <c:pt idx="4">
                  <c:v>18.844444444444445</c:v>
                </c:pt>
                <c:pt idx="5">
                  <c:v>21.688888888888886</c:v>
                </c:pt>
                <c:pt idx="6">
                  <c:v>58.351851851851848</c:v>
                </c:pt>
                <c:pt idx="7">
                  <c:v>121.77777777777779</c:v>
                </c:pt>
                <c:pt idx="8">
                  <c:v>38.055555555555557</c:v>
                </c:pt>
                <c:pt idx="9">
                  <c:v>83.722222222222229</c:v>
                </c:pt>
                <c:pt idx="10">
                  <c:v>54</c:v>
                </c:pt>
                <c:pt idx="11">
                  <c:v>126</c:v>
                </c:pt>
              </c:numCache>
            </c:numRef>
          </c:val>
          <c:extLst>
            <c:ext xmlns:c16="http://schemas.microsoft.com/office/drawing/2014/chart" uri="{C3380CC4-5D6E-409C-BE32-E72D297353CC}">
              <c16:uniqueId val="{00000001-785E-4BAA-8A49-32C98D411001}"/>
            </c:ext>
          </c:extLst>
        </c:ser>
        <c:dLbls>
          <c:showLegendKey val="0"/>
          <c:showVal val="0"/>
          <c:showCatName val="0"/>
          <c:showSerName val="0"/>
          <c:showPercent val="0"/>
          <c:showBubbleSize val="0"/>
        </c:dLbls>
        <c:gapWidth val="50"/>
        <c:axId val="560330287"/>
        <c:axId val="560331247"/>
      </c:barChart>
      <c:catAx>
        <c:axId val="5603302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1247"/>
        <c:crosses val="autoZero"/>
        <c:auto val="1"/>
        <c:lblAlgn val="ctr"/>
        <c:lblOffset val="100"/>
        <c:noMultiLvlLbl val="0"/>
      </c:catAx>
      <c:valAx>
        <c:axId val="560331247"/>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Äes_1!$M$25</c:f>
              <c:strCache>
                <c:ptCount val="1"/>
                <c:pt idx="0">
                  <c:v>Traktorin painon tarve
kg</c:v>
                </c:pt>
              </c:strCache>
            </c:strRef>
          </c:tx>
          <c:spPr>
            <a:solidFill>
              <a:schemeClr val="accent2"/>
            </a:solidFill>
            <a:ln>
              <a:solidFill>
                <a:sysClr val="windowText" lastClr="000000"/>
              </a:solidFill>
            </a:ln>
            <a:effectLst/>
          </c:spPr>
          <c:invertIfNegative val="0"/>
          <c:cat>
            <c:strRef>
              <c:f>Äes_1!$B$26:$B$37</c:f>
              <c:strCache>
                <c:ptCount val="12"/>
                <c:pt idx="0">
                  <c:v>Kultivaattori, perusmuokkaus, kevyt maa1</c:v>
                </c:pt>
                <c:pt idx="1">
                  <c:v>Kultivaattori, perusmuokkaus, keskiraskas maa1</c:v>
                </c:pt>
                <c:pt idx="2">
                  <c:v>Kultivaattori, perusmuokkaus, raskas maa1</c:v>
                </c:pt>
                <c:pt idx="3">
                  <c:v>Kultivaattori, kylvömuokkaus, kevyt maa1</c:v>
                </c:pt>
                <c:pt idx="4">
                  <c:v>Kultivaattori, kylvömuokkaus, keskiraskas maa1</c:v>
                </c:pt>
                <c:pt idx="5">
                  <c:v>Kultivaattori, kylvömuokkaus, raskas maa1</c:v>
                </c:pt>
                <c:pt idx="6">
                  <c:v>S-piikki, 1. ajokerta, kevyt maa2</c:v>
                </c:pt>
                <c:pt idx="7">
                  <c:v>S-piikki, 1. ajokerta, raskas maa2</c:v>
                </c:pt>
                <c:pt idx="8">
                  <c:v>S-piikki, 2. ajokerta, kevyt maa2</c:v>
                </c:pt>
                <c:pt idx="9">
                  <c:v>S-piikki, 2. ajokerta, raskas maa2</c:v>
                </c:pt>
                <c:pt idx="10">
                  <c:v>S-piikki, 2. ajokerta, kevyt maa3</c:v>
                </c:pt>
                <c:pt idx="11">
                  <c:v>S-piikki, 2. ajokerta, raskas maa3</c:v>
                </c:pt>
              </c:strCache>
            </c:strRef>
          </c:cat>
          <c:val>
            <c:numRef>
              <c:f>Äes_1!$M$26:$M$37</c:f>
              <c:numCache>
                <c:formatCode>0</c:formatCode>
                <c:ptCount val="12"/>
                <c:pt idx="0">
                  <c:v>3514.3925052181935</c:v>
                </c:pt>
                <c:pt idx="1">
                  <c:v>4339.5951652832382</c:v>
                </c:pt>
                <c:pt idx="2">
                  <c:v>4970.6324935682733</c:v>
                </c:pt>
                <c:pt idx="3">
                  <c:v>1669.8218533080919</c:v>
                </c:pt>
                <c:pt idx="4">
                  <c:v>1934.8575311878064</c:v>
                </c:pt>
                <c:pt idx="5">
                  <c:v>2097.9564098830156</c:v>
                </c:pt>
                <c:pt idx="6">
                  <c:v>4635.6972962477548</c:v>
                </c:pt>
                <c:pt idx="7">
                  <c:v>7184.1172758603943</c:v>
                </c:pt>
                <c:pt idx="8">
                  <c:v>3820.2029027717103</c:v>
                </c:pt>
                <c:pt idx="9">
                  <c:v>5655.065288092811</c:v>
                </c:pt>
                <c:pt idx="10">
                  <c:v>4126.0133003252267</c:v>
                </c:pt>
                <c:pt idx="11">
                  <c:v>6572.4964807533624</c:v>
                </c:pt>
              </c:numCache>
            </c:numRef>
          </c:val>
          <c:extLst>
            <c:ext xmlns:c16="http://schemas.microsoft.com/office/drawing/2014/chart" uri="{C3380CC4-5D6E-409C-BE32-E72D297353CC}">
              <c16:uniqueId val="{00000000-B36F-4D84-AFB3-EBC53A547F83}"/>
            </c:ext>
          </c:extLst>
        </c:ser>
        <c:dLbls>
          <c:showLegendKey val="0"/>
          <c:showVal val="0"/>
          <c:showCatName val="0"/>
          <c:showSerName val="0"/>
          <c:showPercent val="0"/>
          <c:showBubbleSize val="0"/>
        </c:dLbls>
        <c:gapWidth val="50"/>
        <c:axId val="560330287"/>
        <c:axId val="560331247"/>
      </c:barChart>
      <c:catAx>
        <c:axId val="5603302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1247"/>
        <c:crosses val="autoZero"/>
        <c:auto val="1"/>
        <c:lblAlgn val="ctr"/>
        <c:lblOffset val="100"/>
        <c:noMultiLvlLbl val="0"/>
      </c:catAx>
      <c:valAx>
        <c:axId val="56033124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Äes_1!$R$25</c:f>
              <c:strCache>
                <c:ptCount val="1"/>
                <c:pt idx="0">
                  <c:v>Hiilidioksidi-ekvivalentti-
päästö
kg CO2e/ha</c:v>
                </c:pt>
              </c:strCache>
            </c:strRef>
          </c:tx>
          <c:spPr>
            <a:solidFill>
              <a:schemeClr val="accent2"/>
            </a:solidFill>
            <a:ln>
              <a:solidFill>
                <a:sysClr val="windowText" lastClr="000000"/>
              </a:solidFill>
            </a:ln>
            <a:effectLst/>
          </c:spPr>
          <c:invertIfNegative val="0"/>
          <c:cat>
            <c:strRef>
              <c:f>Äes_1!$B$26:$B$37</c:f>
              <c:strCache>
                <c:ptCount val="12"/>
                <c:pt idx="0">
                  <c:v>Kultivaattori, perusmuokkaus, kevyt maa1</c:v>
                </c:pt>
                <c:pt idx="1">
                  <c:v>Kultivaattori, perusmuokkaus, keskiraskas maa1</c:v>
                </c:pt>
                <c:pt idx="2">
                  <c:v>Kultivaattori, perusmuokkaus, raskas maa1</c:v>
                </c:pt>
                <c:pt idx="3">
                  <c:v>Kultivaattori, kylvömuokkaus, kevyt maa1</c:v>
                </c:pt>
                <c:pt idx="4">
                  <c:v>Kultivaattori, kylvömuokkaus, keskiraskas maa1</c:v>
                </c:pt>
                <c:pt idx="5">
                  <c:v>Kultivaattori, kylvömuokkaus, raskas maa1</c:v>
                </c:pt>
                <c:pt idx="6">
                  <c:v>S-piikki, 1. ajokerta, kevyt maa2</c:v>
                </c:pt>
                <c:pt idx="7">
                  <c:v>S-piikki, 1. ajokerta, raskas maa2</c:v>
                </c:pt>
                <c:pt idx="8">
                  <c:v>S-piikki, 2. ajokerta, kevyt maa2</c:v>
                </c:pt>
                <c:pt idx="9">
                  <c:v>S-piikki, 2. ajokerta, raskas maa2</c:v>
                </c:pt>
                <c:pt idx="10">
                  <c:v>S-piikki, 2. ajokerta, kevyt maa3</c:v>
                </c:pt>
                <c:pt idx="11">
                  <c:v>S-piikki, 2. ajokerta, raskas maa3</c:v>
                </c:pt>
              </c:strCache>
            </c:strRef>
          </c:cat>
          <c:val>
            <c:numRef>
              <c:f>Äes_1!$R$26:$R$37</c:f>
              <c:numCache>
                <c:formatCode>0</c:formatCode>
                <c:ptCount val="12"/>
                <c:pt idx="0">
                  <c:v>38.669801027875302</c:v>
                </c:pt>
                <c:pt idx="1">
                  <c:v>50.004053053287038</c:v>
                </c:pt>
                <c:pt idx="2">
                  <c:v>58.671422249190122</c:v>
                </c:pt>
                <c:pt idx="3">
                  <c:v>9.7034603058699442</c:v>
                </c:pt>
                <c:pt idx="4">
                  <c:v>12.857084905277677</c:v>
                </c:pt>
                <c:pt idx="5">
                  <c:v>14.797776966451661</c:v>
                </c:pt>
                <c:pt idx="6">
                  <c:v>16.965881641533397</c:v>
                </c:pt>
                <c:pt idx="7">
                  <c:v>35.407057338852312</c:v>
                </c:pt>
                <c:pt idx="8">
                  <c:v>11.064705418391348</c:v>
                </c:pt>
                <c:pt idx="9">
                  <c:v>24.342351920460967</c:v>
                </c:pt>
                <c:pt idx="10">
                  <c:v>10.990402287114561</c:v>
                </c:pt>
                <c:pt idx="11">
                  <c:v>25.644272003267304</c:v>
                </c:pt>
              </c:numCache>
            </c:numRef>
          </c:val>
          <c:extLst>
            <c:ext xmlns:c16="http://schemas.microsoft.com/office/drawing/2014/chart" uri="{C3380CC4-5D6E-409C-BE32-E72D297353CC}">
              <c16:uniqueId val="{00000000-8A29-4369-BD93-4B19595931A5}"/>
            </c:ext>
          </c:extLst>
        </c:ser>
        <c:dLbls>
          <c:showLegendKey val="0"/>
          <c:showVal val="0"/>
          <c:showCatName val="0"/>
          <c:showSerName val="0"/>
          <c:showPercent val="0"/>
          <c:showBubbleSize val="0"/>
        </c:dLbls>
        <c:gapWidth val="50"/>
        <c:axId val="560330287"/>
        <c:axId val="560331247"/>
      </c:barChart>
      <c:catAx>
        <c:axId val="5603302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1247"/>
        <c:crosses val="autoZero"/>
        <c:auto val="1"/>
        <c:lblAlgn val="ctr"/>
        <c:lblOffset val="100"/>
        <c:noMultiLvlLbl val="0"/>
      </c:catAx>
      <c:valAx>
        <c:axId val="56033124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Äes_2!$K$21</c:f>
              <c:strCache>
                <c:ptCount val="1"/>
                <c:pt idx="0">
                  <c:v>Teoreettinen työsaavutus
 ha/h</c:v>
                </c:pt>
              </c:strCache>
            </c:strRef>
          </c:tx>
          <c:spPr>
            <a:solidFill>
              <a:schemeClr val="accent2">
                <a:lumMod val="75000"/>
              </a:schemeClr>
            </a:solidFill>
            <a:ln>
              <a:solidFill>
                <a:schemeClr val="tx1"/>
              </a:solidFill>
            </a:ln>
            <a:effectLst/>
          </c:spPr>
          <c:invertIfNegative val="0"/>
          <c:cat>
            <c:strRef>
              <c:f>Äes_2!$B$22:$B$30</c:f>
              <c:strCache>
                <c:ptCount val="9"/>
                <c:pt idx="0">
                  <c:v>Kyntö, kevyt maa1</c:v>
                </c:pt>
                <c:pt idx="1">
                  <c:v>Kyntö, keskiraskas maa1</c:v>
                </c:pt>
                <c:pt idx="2">
                  <c:v>Kyntö, raskas maa1</c:v>
                </c:pt>
                <c:pt idx="3">
                  <c:v>Lautasäes, perusmuokkaus, kevyt maa2</c:v>
                </c:pt>
                <c:pt idx="4">
                  <c:v>Lautasäes, perusmuokkaus, keskiraskas maa2</c:v>
                </c:pt>
                <c:pt idx="5">
                  <c:v>Lautasäes, perusmuokkaus, raskas maa2</c:v>
                </c:pt>
                <c:pt idx="6">
                  <c:v>Lautasäes, kylvömuokkaus, kevyt maa2</c:v>
                </c:pt>
                <c:pt idx="7">
                  <c:v>Lautasäes, kylvömuokkaus, keskiraskas maa2</c:v>
                </c:pt>
                <c:pt idx="8">
                  <c:v>Lautasäes, kylvömuokkaus, raskas maa2</c:v>
                </c:pt>
              </c:strCache>
            </c:strRef>
          </c:cat>
          <c:val>
            <c:numRef>
              <c:f>Äes_2!$K$22:$K$30</c:f>
              <c:numCache>
                <c:formatCode>0.0</c:formatCode>
                <c:ptCount val="9"/>
                <c:pt idx="0">
                  <c:v>0.8</c:v>
                </c:pt>
                <c:pt idx="1">
                  <c:v>0.8</c:v>
                </c:pt>
                <c:pt idx="2">
                  <c:v>0.8</c:v>
                </c:pt>
                <c:pt idx="3">
                  <c:v>2.8</c:v>
                </c:pt>
                <c:pt idx="4">
                  <c:v>3.6</c:v>
                </c:pt>
                <c:pt idx="5">
                  <c:v>2.7</c:v>
                </c:pt>
                <c:pt idx="6">
                  <c:v>4.5</c:v>
                </c:pt>
                <c:pt idx="7">
                  <c:v>4.5</c:v>
                </c:pt>
                <c:pt idx="8">
                  <c:v>3.6</c:v>
                </c:pt>
              </c:numCache>
            </c:numRef>
          </c:val>
          <c:extLst>
            <c:ext xmlns:c16="http://schemas.microsoft.com/office/drawing/2014/chart" uri="{C3380CC4-5D6E-409C-BE32-E72D297353CC}">
              <c16:uniqueId val="{00000000-7B37-4FAB-801C-B8C395A8B7A3}"/>
            </c:ext>
          </c:extLst>
        </c:ser>
        <c:ser>
          <c:idx val="1"/>
          <c:order val="1"/>
          <c:tx>
            <c:v>Kulutus l/ha</c:v>
          </c:tx>
          <c:spPr>
            <a:solidFill>
              <a:schemeClr val="accent1">
                <a:lumMod val="60000"/>
                <a:lumOff val="40000"/>
              </a:schemeClr>
            </a:solidFill>
            <a:ln>
              <a:solidFill>
                <a:schemeClr val="tx1"/>
              </a:solidFill>
            </a:ln>
            <a:effectLst/>
          </c:spPr>
          <c:invertIfNegative val="0"/>
          <c:cat>
            <c:strRef>
              <c:f>Äes_2!$B$22:$B$30</c:f>
              <c:strCache>
                <c:ptCount val="9"/>
                <c:pt idx="0">
                  <c:v>Kyntö, kevyt maa1</c:v>
                </c:pt>
                <c:pt idx="1">
                  <c:v>Kyntö, keskiraskas maa1</c:v>
                </c:pt>
                <c:pt idx="2">
                  <c:v>Kyntö, raskas maa1</c:v>
                </c:pt>
                <c:pt idx="3">
                  <c:v>Lautasäes, perusmuokkaus, kevyt maa2</c:v>
                </c:pt>
                <c:pt idx="4">
                  <c:v>Lautasäes, perusmuokkaus, keskiraskas maa2</c:v>
                </c:pt>
                <c:pt idx="5">
                  <c:v>Lautasäes, perusmuokkaus, raskas maa2</c:v>
                </c:pt>
                <c:pt idx="6">
                  <c:v>Lautasäes, kylvömuokkaus, kevyt maa2</c:v>
                </c:pt>
                <c:pt idx="7">
                  <c:v>Lautasäes, kylvömuokkaus, keskiraskas maa2</c:v>
                </c:pt>
                <c:pt idx="8">
                  <c:v>Lautasäes, kylvömuokkaus, raskas maa2</c:v>
                </c:pt>
              </c:strCache>
            </c:strRef>
          </c:cat>
          <c:val>
            <c:numRef>
              <c:f>Äes_2!$N$22:$N$30</c:f>
              <c:numCache>
                <c:formatCode>0.0</c:formatCode>
                <c:ptCount val="9"/>
                <c:pt idx="0">
                  <c:v>13.438540701535107</c:v>
                </c:pt>
                <c:pt idx="1">
                  <c:v>19.197915287907293</c:v>
                </c:pt>
                <c:pt idx="2">
                  <c:v>30.716664460651671</c:v>
                </c:pt>
                <c:pt idx="3">
                  <c:v>9.2149993381955024</c:v>
                </c:pt>
                <c:pt idx="4">
                  <c:v>11.057999205834603</c:v>
                </c:pt>
                <c:pt idx="5">
                  <c:v>12.900999073473701</c:v>
                </c:pt>
                <c:pt idx="6">
                  <c:v>3.2252497683684256</c:v>
                </c:pt>
                <c:pt idx="7">
                  <c:v>3.7627913964298303</c:v>
                </c:pt>
                <c:pt idx="8">
                  <c:v>4.3003330244912341</c:v>
                </c:pt>
              </c:numCache>
            </c:numRef>
          </c:val>
          <c:extLst>
            <c:ext xmlns:c16="http://schemas.microsoft.com/office/drawing/2014/chart" uri="{C3380CC4-5D6E-409C-BE32-E72D297353CC}">
              <c16:uniqueId val="{00000001-7B37-4FAB-801C-B8C395A8B7A3}"/>
            </c:ext>
          </c:extLst>
        </c:ser>
        <c:dLbls>
          <c:showLegendKey val="0"/>
          <c:showVal val="0"/>
          <c:showCatName val="0"/>
          <c:showSerName val="0"/>
          <c:showPercent val="0"/>
          <c:showBubbleSize val="0"/>
        </c:dLbls>
        <c:gapWidth val="50"/>
        <c:axId val="560356207"/>
        <c:axId val="560357167"/>
      </c:barChart>
      <c:catAx>
        <c:axId val="56035620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57167"/>
        <c:crosses val="autoZero"/>
        <c:auto val="1"/>
        <c:lblAlgn val="ctr"/>
        <c:lblOffset val="100"/>
        <c:noMultiLvlLbl val="0"/>
      </c:catAx>
      <c:valAx>
        <c:axId val="560357167"/>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5620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Äes_2!$G$21</c:f>
              <c:strCache>
                <c:ptCount val="1"/>
                <c:pt idx="0">
                  <c:v>Vetovastus 
kN</c:v>
                </c:pt>
              </c:strCache>
            </c:strRef>
          </c:tx>
          <c:spPr>
            <a:solidFill>
              <a:schemeClr val="accent6">
                <a:lumMod val="75000"/>
              </a:schemeClr>
            </a:solidFill>
            <a:ln>
              <a:solidFill>
                <a:schemeClr val="tx1"/>
              </a:solidFill>
            </a:ln>
            <a:effectLst/>
          </c:spPr>
          <c:invertIfNegative val="0"/>
          <c:cat>
            <c:strRef>
              <c:f>Äes_2!$B$22:$B$30</c:f>
              <c:strCache>
                <c:ptCount val="9"/>
                <c:pt idx="0">
                  <c:v>Kyntö, kevyt maa1</c:v>
                </c:pt>
                <c:pt idx="1">
                  <c:v>Kyntö, keskiraskas maa1</c:v>
                </c:pt>
                <c:pt idx="2">
                  <c:v>Kyntö, raskas maa1</c:v>
                </c:pt>
                <c:pt idx="3">
                  <c:v>Lautasäes, perusmuokkaus, kevyt maa2</c:v>
                </c:pt>
                <c:pt idx="4">
                  <c:v>Lautasäes, perusmuokkaus, keskiraskas maa2</c:v>
                </c:pt>
                <c:pt idx="5">
                  <c:v>Lautasäes, perusmuokkaus, raskas maa2</c:v>
                </c:pt>
                <c:pt idx="6">
                  <c:v>Lautasäes, kylvömuokkaus, kevyt maa2</c:v>
                </c:pt>
                <c:pt idx="7">
                  <c:v>Lautasäes, kylvömuokkaus, keskiraskas maa2</c:v>
                </c:pt>
                <c:pt idx="8">
                  <c:v>Lautasäes, kylvömuokkaus, raskas maa2</c:v>
                </c:pt>
              </c:strCache>
            </c:strRef>
          </c:cat>
          <c:val>
            <c:numRef>
              <c:f>Äes_2!$G$22:$G$30</c:f>
              <c:numCache>
                <c:formatCode>0.0</c:formatCode>
                <c:ptCount val="9"/>
                <c:pt idx="0">
                  <c:v>14</c:v>
                </c:pt>
                <c:pt idx="1">
                  <c:v>20</c:v>
                </c:pt>
                <c:pt idx="2">
                  <c:v>32</c:v>
                </c:pt>
                <c:pt idx="3">
                  <c:v>24</c:v>
                </c:pt>
                <c:pt idx="4">
                  <c:v>28.8</c:v>
                </c:pt>
                <c:pt idx="5">
                  <c:v>25.2</c:v>
                </c:pt>
                <c:pt idx="6">
                  <c:v>10.5</c:v>
                </c:pt>
                <c:pt idx="7">
                  <c:v>12.25</c:v>
                </c:pt>
                <c:pt idx="8">
                  <c:v>11.2</c:v>
                </c:pt>
              </c:numCache>
            </c:numRef>
          </c:val>
          <c:extLst>
            <c:ext xmlns:c16="http://schemas.microsoft.com/office/drawing/2014/chart" uri="{C3380CC4-5D6E-409C-BE32-E72D297353CC}">
              <c16:uniqueId val="{00000000-16C5-4AE0-B9AB-0EEF058C449B}"/>
            </c:ext>
          </c:extLst>
        </c:ser>
        <c:ser>
          <c:idx val="1"/>
          <c:order val="1"/>
          <c:tx>
            <c:strRef>
              <c:f>Äes_2!$I$21</c:f>
              <c:strCache>
                <c:ptCount val="1"/>
                <c:pt idx="0">
                  <c:v>Moottoritehon tarve
 kW</c:v>
                </c:pt>
              </c:strCache>
            </c:strRef>
          </c:tx>
          <c:spPr>
            <a:solidFill>
              <a:schemeClr val="accent2"/>
            </a:solidFill>
            <a:ln>
              <a:solidFill>
                <a:schemeClr val="accent1"/>
              </a:solidFill>
            </a:ln>
            <a:effectLst/>
          </c:spPr>
          <c:invertIfNegative val="0"/>
          <c:cat>
            <c:strRef>
              <c:f>Äes_2!$B$22:$B$30</c:f>
              <c:strCache>
                <c:ptCount val="9"/>
                <c:pt idx="0">
                  <c:v>Kyntö, kevyt maa1</c:v>
                </c:pt>
                <c:pt idx="1">
                  <c:v>Kyntö, keskiraskas maa1</c:v>
                </c:pt>
                <c:pt idx="2">
                  <c:v>Kyntö, raskas maa1</c:v>
                </c:pt>
                <c:pt idx="3">
                  <c:v>Lautasäes, perusmuokkaus, kevyt maa2</c:v>
                </c:pt>
                <c:pt idx="4">
                  <c:v>Lautasäes, perusmuokkaus, keskiraskas maa2</c:v>
                </c:pt>
                <c:pt idx="5">
                  <c:v>Lautasäes, perusmuokkaus, raskas maa2</c:v>
                </c:pt>
                <c:pt idx="6">
                  <c:v>Lautasäes, kylvömuokkaus, kevyt maa2</c:v>
                </c:pt>
                <c:pt idx="7">
                  <c:v>Lautasäes, kylvömuokkaus, keskiraskas maa2</c:v>
                </c:pt>
                <c:pt idx="8">
                  <c:v>Lautasäes, kylvömuokkaus, raskas maa2</c:v>
                </c:pt>
              </c:strCache>
            </c:strRef>
          </c:cat>
          <c:val>
            <c:numRef>
              <c:f>Äes_2!$I$22:$I$30</c:f>
              <c:numCache>
                <c:formatCode>0</c:formatCode>
                <c:ptCount val="9"/>
                <c:pt idx="0">
                  <c:v>26.769573077457935</c:v>
                </c:pt>
                <c:pt idx="1">
                  <c:v>38.242247253511337</c:v>
                </c:pt>
                <c:pt idx="2">
                  <c:v>61.187595605618135</c:v>
                </c:pt>
                <c:pt idx="3">
                  <c:v>64.246975385899034</c:v>
                </c:pt>
                <c:pt idx="4">
                  <c:v>99.123904881101382</c:v>
                </c:pt>
                <c:pt idx="5">
                  <c:v>86.7334167709637</c:v>
                </c:pt>
                <c:pt idx="6">
                  <c:v>36.13892365456821</c:v>
                </c:pt>
                <c:pt idx="7">
                  <c:v>42.162077596996248</c:v>
                </c:pt>
                <c:pt idx="8">
                  <c:v>38.548185231539428</c:v>
                </c:pt>
              </c:numCache>
            </c:numRef>
          </c:val>
          <c:extLst>
            <c:ext xmlns:c16="http://schemas.microsoft.com/office/drawing/2014/chart" uri="{C3380CC4-5D6E-409C-BE32-E72D297353CC}">
              <c16:uniqueId val="{00000001-16C5-4AE0-B9AB-0EEF058C449B}"/>
            </c:ext>
          </c:extLst>
        </c:ser>
        <c:dLbls>
          <c:showLegendKey val="0"/>
          <c:showVal val="0"/>
          <c:showCatName val="0"/>
          <c:showSerName val="0"/>
          <c:showPercent val="0"/>
          <c:showBubbleSize val="0"/>
        </c:dLbls>
        <c:gapWidth val="50"/>
        <c:axId val="560330287"/>
        <c:axId val="560331247"/>
      </c:barChart>
      <c:catAx>
        <c:axId val="5603302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1247"/>
        <c:crosses val="autoZero"/>
        <c:auto val="1"/>
        <c:lblAlgn val="ctr"/>
        <c:lblOffset val="100"/>
        <c:noMultiLvlLbl val="0"/>
      </c:catAx>
      <c:valAx>
        <c:axId val="560331247"/>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Äes_2!$J$21</c:f>
              <c:strCache>
                <c:ptCount val="1"/>
                <c:pt idx="0">
                  <c:v>Traktorin painon tarve
kg</c:v>
                </c:pt>
              </c:strCache>
            </c:strRef>
          </c:tx>
          <c:spPr>
            <a:solidFill>
              <a:schemeClr val="accent2"/>
            </a:solidFill>
            <a:ln>
              <a:solidFill>
                <a:sysClr val="windowText" lastClr="000000"/>
              </a:solidFill>
            </a:ln>
            <a:effectLst/>
          </c:spPr>
          <c:invertIfNegative val="0"/>
          <c:cat>
            <c:strRef>
              <c:f>Äes_2!$B$22:$B$30</c:f>
              <c:strCache>
                <c:ptCount val="9"/>
                <c:pt idx="0">
                  <c:v>Kyntö, kevyt maa1</c:v>
                </c:pt>
                <c:pt idx="1">
                  <c:v>Kyntö, keskiraskas maa1</c:v>
                </c:pt>
                <c:pt idx="2">
                  <c:v>Kyntö, raskas maa1</c:v>
                </c:pt>
                <c:pt idx="3">
                  <c:v>Lautasäes, perusmuokkaus, kevyt maa2</c:v>
                </c:pt>
                <c:pt idx="4">
                  <c:v>Lautasäes, perusmuokkaus, keskiraskas maa2</c:v>
                </c:pt>
                <c:pt idx="5">
                  <c:v>Lautasäes, perusmuokkaus, raskas maa2</c:v>
                </c:pt>
                <c:pt idx="6">
                  <c:v>Lautasäes, kylvömuokkaus, kevyt maa2</c:v>
                </c:pt>
                <c:pt idx="7">
                  <c:v>Lautasäes, kylvömuokkaus, keskiraskas maa2</c:v>
                </c:pt>
                <c:pt idx="8">
                  <c:v>Lautasäes, kylvömuokkaus, raskas maa2</c:v>
                </c:pt>
              </c:strCache>
            </c:strRef>
          </c:cat>
          <c:val>
            <c:numRef>
              <c:f>Äes_2!$J$22:$J$30</c:f>
              <c:numCache>
                <c:formatCode>0</c:formatCode>
                <c:ptCount val="9"/>
                <c:pt idx="0">
                  <c:v>3036.4152948576138</c:v>
                </c:pt>
                <c:pt idx="1">
                  <c:v>4337.736135510876</c:v>
                </c:pt>
                <c:pt idx="2">
                  <c:v>6940.3778168174022</c:v>
                </c:pt>
                <c:pt idx="3">
                  <c:v>5205.2833626130514</c:v>
                </c:pt>
                <c:pt idx="4">
                  <c:v>6246.3400351356622</c:v>
                </c:pt>
                <c:pt idx="5">
                  <c:v>5465.5475307437046</c:v>
                </c:pt>
                <c:pt idx="6">
                  <c:v>2277.3114711432099</c:v>
                </c:pt>
                <c:pt idx="7">
                  <c:v>2656.8633830004119</c:v>
                </c:pt>
                <c:pt idx="8">
                  <c:v>2429.1322358860907</c:v>
                </c:pt>
              </c:numCache>
            </c:numRef>
          </c:val>
          <c:extLst>
            <c:ext xmlns:c16="http://schemas.microsoft.com/office/drawing/2014/chart" uri="{C3380CC4-5D6E-409C-BE32-E72D297353CC}">
              <c16:uniqueId val="{00000000-24B6-428B-B848-5B1306D3F41A}"/>
            </c:ext>
          </c:extLst>
        </c:ser>
        <c:dLbls>
          <c:showLegendKey val="0"/>
          <c:showVal val="0"/>
          <c:showCatName val="0"/>
          <c:showSerName val="0"/>
          <c:showPercent val="0"/>
          <c:showBubbleSize val="0"/>
        </c:dLbls>
        <c:gapWidth val="50"/>
        <c:axId val="560330287"/>
        <c:axId val="560331247"/>
      </c:barChart>
      <c:catAx>
        <c:axId val="5603302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1247"/>
        <c:crosses val="autoZero"/>
        <c:auto val="1"/>
        <c:lblAlgn val="ctr"/>
        <c:lblOffset val="100"/>
        <c:noMultiLvlLbl val="0"/>
      </c:catAx>
      <c:valAx>
        <c:axId val="56033124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Todennäköisyyttä</a:t>
            </a:r>
            <a:r>
              <a:rPr lang="fi-FI" baseline="0"/>
              <a:t> vastaavat poutapäivät</a:t>
            </a:r>
            <a:endParaRPr lang="fi-FI"/>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scatterChart>
        <c:scatterStyle val="smoothMarker"/>
        <c:varyColors val="0"/>
        <c:ser>
          <c:idx val="0"/>
          <c:order val="0"/>
          <c:spPr>
            <a:ln w="19050" cap="rnd">
              <a:solidFill>
                <a:schemeClr val="accent1"/>
              </a:solidFill>
              <a:round/>
            </a:ln>
            <a:effectLst/>
          </c:spPr>
          <c:marker>
            <c:symbol val="none"/>
          </c:marker>
          <c:xVal>
            <c:numRef>
              <c:f>Poutapäivät!$T$20:$T$39</c:f>
              <c:numCache>
                <c:formatCode>General</c:formatCode>
                <c:ptCount val="20"/>
                <c:pt idx="0">
                  <c:v>0.99</c:v>
                </c:pt>
                <c:pt idx="1">
                  <c:v>0.95</c:v>
                </c:pt>
                <c:pt idx="2">
                  <c:v>0.9</c:v>
                </c:pt>
                <c:pt idx="3">
                  <c:v>0.85</c:v>
                </c:pt>
                <c:pt idx="4">
                  <c:v>0.8</c:v>
                </c:pt>
                <c:pt idx="5">
                  <c:v>0.75</c:v>
                </c:pt>
                <c:pt idx="6">
                  <c:v>0.7</c:v>
                </c:pt>
                <c:pt idx="7">
                  <c:v>0.65</c:v>
                </c:pt>
                <c:pt idx="8">
                  <c:v>0.6</c:v>
                </c:pt>
                <c:pt idx="9">
                  <c:v>0.55000000000000104</c:v>
                </c:pt>
                <c:pt idx="10">
                  <c:v>0.500000000000001</c:v>
                </c:pt>
                <c:pt idx="11">
                  <c:v>0.45000000000000101</c:v>
                </c:pt>
                <c:pt idx="12">
                  <c:v>0.40000000000000102</c:v>
                </c:pt>
                <c:pt idx="13">
                  <c:v>0.35000000000000098</c:v>
                </c:pt>
                <c:pt idx="14">
                  <c:v>0.30000000000000099</c:v>
                </c:pt>
                <c:pt idx="15">
                  <c:v>0.250000000000001</c:v>
                </c:pt>
                <c:pt idx="16">
                  <c:v>0.20000000000000101</c:v>
                </c:pt>
                <c:pt idx="17">
                  <c:v>0.15000000000000099</c:v>
                </c:pt>
                <c:pt idx="18">
                  <c:v>0.100000000000001</c:v>
                </c:pt>
                <c:pt idx="19">
                  <c:v>5.0000000000000898E-2</c:v>
                </c:pt>
              </c:numCache>
            </c:numRef>
          </c:xVal>
          <c:yVal>
            <c:numRef>
              <c:f>Poutapäivät!$U$20:$U$39</c:f>
              <c:numCache>
                <c:formatCode>0</c:formatCode>
                <c:ptCount val="20"/>
                <c:pt idx="0">
                  <c:v>2.6251476534529736</c:v>
                </c:pt>
                <c:pt idx="1">
                  <c:v>5.078526942974702</c:v>
                </c:pt>
                <c:pt idx="2">
                  <c:v>6.386414364039438</c:v>
                </c:pt>
                <c:pt idx="3">
                  <c:v>7.2688397978223565</c:v>
                </c:pt>
                <c:pt idx="4">
                  <c:v>7.9701635591375073</c:v>
                </c:pt>
                <c:pt idx="5">
                  <c:v>8.5718368992941052</c:v>
                </c:pt>
                <c:pt idx="6">
                  <c:v>9.1121581542510537</c:v>
                </c:pt>
                <c:pt idx="7">
                  <c:v>9.6128463209327553</c:v>
                </c:pt>
                <c:pt idx="8">
                  <c:v>10.087950428711121</c:v>
                </c:pt>
                <c:pt idx="9">
                  <c:v>10.547619151321724</c:v>
                </c:pt>
                <c:pt idx="10">
                  <c:v>10.999999999999991</c:v>
                </c:pt>
                <c:pt idx="11">
                  <c:v>11.452380848678256</c:v>
                </c:pt>
                <c:pt idx="12">
                  <c:v>11.91204957128887</c:v>
                </c:pt>
                <c:pt idx="13">
                  <c:v>12.387153679067234</c:v>
                </c:pt>
                <c:pt idx="14">
                  <c:v>12.887841845748937</c:v>
                </c:pt>
                <c:pt idx="15">
                  <c:v>13.428163100705882</c:v>
                </c:pt>
                <c:pt idx="16">
                  <c:v>14.029836440862478</c:v>
                </c:pt>
                <c:pt idx="17">
                  <c:v>14.73116020217763</c:v>
                </c:pt>
                <c:pt idx="18">
                  <c:v>15.613585635960543</c:v>
                </c:pt>
                <c:pt idx="19">
                  <c:v>16.921473057025267</c:v>
                </c:pt>
              </c:numCache>
            </c:numRef>
          </c:yVal>
          <c:smooth val="1"/>
          <c:extLst>
            <c:ext xmlns:c16="http://schemas.microsoft.com/office/drawing/2014/chart" uri="{C3380CC4-5D6E-409C-BE32-E72D297353CC}">
              <c16:uniqueId val="{00000000-441A-41C4-83C6-BE77D10BBCC2}"/>
            </c:ext>
          </c:extLst>
        </c:ser>
        <c:dLbls>
          <c:showLegendKey val="0"/>
          <c:showVal val="0"/>
          <c:showCatName val="0"/>
          <c:showSerName val="0"/>
          <c:showPercent val="0"/>
          <c:showBubbleSize val="0"/>
        </c:dLbls>
        <c:axId val="849119120"/>
        <c:axId val="849117680"/>
      </c:scatterChart>
      <c:valAx>
        <c:axId val="849119120"/>
        <c:scaling>
          <c:orientation val="minMax"/>
          <c:max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i-FI"/>
                  <a:t>Todennäköisyys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49117680"/>
        <c:crosses val="autoZero"/>
        <c:crossBetween val="midCat"/>
      </c:valAx>
      <c:valAx>
        <c:axId val="8491176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Poutapäiviä</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49119120"/>
        <c:crosses val="autoZero"/>
        <c:crossBetween val="midCat"/>
      </c:valAx>
      <c:spPr>
        <a:noFill/>
        <a:ln>
          <a:noFill/>
        </a:ln>
        <a:effectLst/>
      </c:spPr>
    </c:plotArea>
    <c:plotVisOnly val="0"/>
    <c:dispBlanksAs val="span"/>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strRef>
              <c:f>Äes_2!$O$21</c:f>
              <c:strCache>
                <c:ptCount val="1"/>
                <c:pt idx="0">
                  <c:v>Hiilidioksidi-ekvivalentti-
päästö
kg CO2e/ha</c:v>
                </c:pt>
              </c:strCache>
            </c:strRef>
          </c:tx>
          <c:spPr>
            <a:solidFill>
              <a:schemeClr val="accent2"/>
            </a:solidFill>
            <a:ln>
              <a:solidFill>
                <a:sysClr val="windowText" lastClr="000000"/>
              </a:solidFill>
            </a:ln>
            <a:effectLst/>
          </c:spPr>
          <c:invertIfNegative val="0"/>
          <c:cat>
            <c:strRef>
              <c:f>Äes_2!$B$22:$B$30</c:f>
              <c:strCache>
                <c:ptCount val="9"/>
                <c:pt idx="0">
                  <c:v>Kyntö, kevyt maa1</c:v>
                </c:pt>
                <c:pt idx="1">
                  <c:v>Kyntö, keskiraskas maa1</c:v>
                </c:pt>
                <c:pt idx="2">
                  <c:v>Kyntö, raskas maa1</c:v>
                </c:pt>
                <c:pt idx="3">
                  <c:v>Lautasäes, perusmuokkaus, kevyt maa2</c:v>
                </c:pt>
                <c:pt idx="4">
                  <c:v>Lautasäes, perusmuokkaus, keskiraskas maa2</c:v>
                </c:pt>
                <c:pt idx="5">
                  <c:v>Lautasäes, perusmuokkaus, raskas maa2</c:v>
                </c:pt>
                <c:pt idx="6">
                  <c:v>Lautasäes, kylvömuokkaus, kevyt maa2</c:v>
                </c:pt>
                <c:pt idx="7">
                  <c:v>Lautasäes, kylvömuokkaus, keskiraskas maa2</c:v>
                </c:pt>
                <c:pt idx="8">
                  <c:v>Lautasäes, kylvömuokkaus, raskas maa2</c:v>
                </c:pt>
              </c:strCache>
            </c:strRef>
          </c:cat>
          <c:val>
            <c:numRef>
              <c:f>Äes_2!$O$22:$O$30</c:f>
              <c:numCache>
                <c:formatCode>0</c:formatCode>
                <c:ptCount val="9"/>
                <c:pt idx="0">
                  <c:v>40.181236697589974</c:v>
                </c:pt>
                <c:pt idx="1">
                  <c:v>57.401766710842807</c:v>
                </c:pt>
                <c:pt idx="2">
                  <c:v>91.842826737348503</c:v>
                </c:pt>
                <c:pt idx="3">
                  <c:v>27.552848021204554</c:v>
                </c:pt>
                <c:pt idx="4">
                  <c:v>33.063417625445467</c:v>
                </c:pt>
                <c:pt idx="5">
                  <c:v>38.573987229686367</c:v>
                </c:pt>
                <c:pt idx="6">
                  <c:v>9.6434968074215934</c:v>
                </c:pt>
                <c:pt idx="7">
                  <c:v>11.250746275325193</c:v>
                </c:pt>
                <c:pt idx="8">
                  <c:v>12.857995743228791</c:v>
                </c:pt>
              </c:numCache>
            </c:numRef>
          </c:val>
          <c:extLst>
            <c:ext xmlns:c16="http://schemas.microsoft.com/office/drawing/2014/chart" uri="{C3380CC4-5D6E-409C-BE32-E72D297353CC}">
              <c16:uniqueId val="{00000000-2761-4DC8-8667-0DDAB2B038D6}"/>
            </c:ext>
          </c:extLst>
        </c:ser>
        <c:dLbls>
          <c:showLegendKey val="0"/>
          <c:showVal val="0"/>
          <c:showCatName val="0"/>
          <c:showSerName val="0"/>
          <c:showPercent val="0"/>
          <c:showBubbleSize val="0"/>
        </c:dLbls>
        <c:gapWidth val="50"/>
        <c:axId val="560330287"/>
        <c:axId val="560331247"/>
      </c:barChart>
      <c:catAx>
        <c:axId val="56033028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1247"/>
        <c:crosses val="autoZero"/>
        <c:auto val="1"/>
        <c:lblAlgn val="ctr"/>
        <c:lblOffset val="100"/>
        <c:noMultiLvlLbl val="0"/>
      </c:catAx>
      <c:valAx>
        <c:axId val="56033124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603302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Äes_3!$B$33:$B$34</c:f>
              <c:strCache>
                <c:ptCount val="2"/>
                <c:pt idx="0">
                  <c:v>pystyvoima</c:v>
                </c:pt>
                <c:pt idx="1">
                  <c:v>vaakavoima</c:v>
                </c:pt>
              </c:strCache>
            </c:strRef>
          </c:cat>
          <c:val>
            <c:numRef>
              <c:f>Äes_3!$D$33:$D$34</c:f>
              <c:numCache>
                <c:formatCode>0</c:formatCode>
                <c:ptCount val="2"/>
                <c:pt idx="0">
                  <c:v>151.99566480900125</c:v>
                </c:pt>
                <c:pt idx="1">
                  <c:v>462.11217253817745</c:v>
                </c:pt>
              </c:numCache>
            </c:numRef>
          </c:val>
          <c:extLst>
            <c:ext xmlns:c16="http://schemas.microsoft.com/office/drawing/2014/chart" uri="{C3380CC4-5D6E-409C-BE32-E72D297353CC}">
              <c16:uniqueId val="{00000000-ABB0-41EF-B572-549DA7B5E191}"/>
            </c:ext>
          </c:extLst>
        </c:ser>
        <c:dLbls>
          <c:showLegendKey val="0"/>
          <c:showVal val="0"/>
          <c:showCatName val="0"/>
          <c:showSerName val="0"/>
          <c:showPercent val="0"/>
          <c:showBubbleSize val="0"/>
        </c:dLbls>
        <c:gapWidth val="219"/>
        <c:overlap val="-27"/>
        <c:axId val="1661602432"/>
        <c:axId val="1661593792"/>
      </c:barChart>
      <c:catAx>
        <c:axId val="1661602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661593792"/>
        <c:crosses val="autoZero"/>
        <c:auto val="1"/>
        <c:lblAlgn val="ctr"/>
        <c:lblOffset val="100"/>
        <c:noMultiLvlLbl val="0"/>
      </c:catAx>
      <c:valAx>
        <c:axId val="1661593792"/>
        <c:scaling>
          <c:orientation val="minMax"/>
        </c:scaling>
        <c:delete val="0"/>
        <c:axPos val="l"/>
        <c:majorGridlines>
          <c:spPr>
            <a:ln w="9525" cap="flat" cmpd="sng" algn="ctr">
              <a:solidFill>
                <a:schemeClr val="bg1">
                  <a:lumMod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i-FI"/>
                  <a:t>Piikkivoima</a:t>
                </a:r>
                <a:r>
                  <a:rPr lang="fi-FI" baseline="0"/>
                  <a:t> N</a:t>
                </a:r>
                <a:endParaRPr lang="fi-FI"/>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661602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Äes_3!$B$36</c:f>
              <c:strCache>
                <c:ptCount val="1"/>
                <c:pt idx="0">
                  <c:v>Piikkien vaakavoimat</c:v>
                </c:pt>
              </c:strCache>
            </c:strRef>
          </c:tx>
          <c:spPr>
            <a:solidFill>
              <a:schemeClr val="accent1"/>
            </a:solidFill>
            <a:ln>
              <a:noFill/>
            </a:ln>
            <a:effectLst/>
          </c:spPr>
          <c:invertIfNegative val="0"/>
          <c:val>
            <c:numRef>
              <c:f>Äes_3!$D$36</c:f>
              <c:numCache>
                <c:formatCode>0</c:formatCode>
                <c:ptCount val="1"/>
                <c:pt idx="0">
                  <c:v>32.347852077672421</c:v>
                </c:pt>
              </c:numCache>
            </c:numRef>
          </c:val>
          <c:extLst>
            <c:ext xmlns:c16="http://schemas.microsoft.com/office/drawing/2014/chart" uri="{C3380CC4-5D6E-409C-BE32-E72D297353CC}">
              <c16:uniqueId val="{00000000-5DF8-49E8-B101-406B01E60E29}"/>
            </c:ext>
          </c:extLst>
        </c:ser>
        <c:ser>
          <c:idx val="1"/>
          <c:order val="1"/>
          <c:tx>
            <c:strRef>
              <c:f>Äes_3!$B$38</c:f>
              <c:strCache>
                <c:ptCount val="1"/>
                <c:pt idx="0">
                  <c:v>Äkeen vierimisvastusvoima</c:v>
                </c:pt>
              </c:strCache>
            </c:strRef>
          </c:tx>
          <c:spPr>
            <a:solidFill>
              <a:schemeClr val="accent2"/>
            </a:solidFill>
            <a:ln>
              <a:noFill/>
            </a:ln>
            <a:effectLst/>
          </c:spPr>
          <c:invertIfNegative val="0"/>
          <c:val>
            <c:numRef>
              <c:f>Äes_3!$D$38</c:f>
              <c:numCache>
                <c:formatCode>0</c:formatCode>
                <c:ptCount val="1"/>
                <c:pt idx="0">
                  <c:v>10.956939307326019</c:v>
                </c:pt>
              </c:numCache>
            </c:numRef>
          </c:val>
          <c:extLst>
            <c:ext xmlns:c16="http://schemas.microsoft.com/office/drawing/2014/chart" uri="{C3380CC4-5D6E-409C-BE32-E72D297353CC}">
              <c16:uniqueId val="{00000001-5DF8-49E8-B101-406B01E60E29}"/>
            </c:ext>
          </c:extLst>
        </c:ser>
        <c:dLbls>
          <c:showLegendKey val="0"/>
          <c:showVal val="0"/>
          <c:showCatName val="0"/>
          <c:showSerName val="0"/>
          <c:showPercent val="0"/>
          <c:showBubbleSize val="0"/>
        </c:dLbls>
        <c:gapWidth val="150"/>
        <c:overlap val="100"/>
        <c:axId val="256639792"/>
        <c:axId val="256640272"/>
      </c:barChart>
      <c:catAx>
        <c:axId val="256639792"/>
        <c:scaling>
          <c:orientation val="minMax"/>
        </c:scaling>
        <c:delete val="1"/>
        <c:axPos val="b"/>
        <c:majorTickMark val="none"/>
        <c:minorTickMark val="none"/>
        <c:tickLblPos val="nextTo"/>
        <c:crossAx val="256640272"/>
        <c:crosses val="autoZero"/>
        <c:auto val="1"/>
        <c:lblAlgn val="ctr"/>
        <c:lblOffset val="100"/>
        <c:noMultiLvlLbl val="0"/>
      </c:catAx>
      <c:valAx>
        <c:axId val="2566402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i-FI"/>
                  <a:t>Äkeen</a:t>
                </a:r>
                <a:r>
                  <a:rPr lang="fi-FI" baseline="0"/>
                  <a:t> kokonaisvetovastus kN</a:t>
                </a:r>
                <a:endParaRPr lang="fi-FI"/>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566397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Nurmikone!$M$24</c:f>
              <c:strCache>
                <c:ptCount val="1"/>
                <c:pt idx="0">
                  <c:v>Teoreettinen työsaavutus ha/h</c:v>
                </c:pt>
              </c:strCache>
            </c:strRef>
          </c:tx>
          <c:spPr>
            <a:solidFill>
              <a:schemeClr val="accent1"/>
            </a:solidFill>
            <a:ln>
              <a:noFill/>
            </a:ln>
            <a:effectLst/>
          </c:spPr>
          <c:invertIfNegative val="0"/>
          <c:cat>
            <c:strRef>
              <c:f>Nurmikone!$B$25:$B$34</c:f>
              <c:strCache>
                <c:ptCount val="10"/>
                <c:pt idx="0">
                  <c:v>Pyöröpaalain, kiinteä kammio </c:v>
                </c:pt>
                <c:pt idx="1">
                  <c:v>Pyöröpaalain, muuttuva kammio </c:v>
                </c:pt>
                <c:pt idx="2">
                  <c:v>Niittosilppuri 1</c:v>
                </c:pt>
                <c:pt idx="3">
                  <c:v>Lautasniittokone </c:v>
                </c:pt>
                <c:pt idx="4">
                  <c:v>Lautasniittomurskain </c:v>
                </c:pt>
                <c:pt idx="5">
                  <c:v>Sormipalkkiniittomurskain </c:v>
                </c:pt>
                <c:pt idx="6">
                  <c:v>Sormipalkkiniittokone </c:v>
                </c:pt>
                <c:pt idx="7">
                  <c:v>Pyöröharava </c:v>
                </c:pt>
                <c:pt idx="8">
                  <c:v>Pöyhin/karhotin </c:v>
                </c:pt>
                <c:pt idx="9">
                  <c:v>Noukinvaunu </c:v>
                </c:pt>
              </c:strCache>
            </c:strRef>
          </c:cat>
          <c:val>
            <c:numRef>
              <c:f>Nurmikone!$M$25:$M$34</c:f>
              <c:numCache>
                <c:formatCode>0.0</c:formatCode>
                <c:ptCount val="10"/>
                <c:pt idx="0">
                  <c:v>3</c:v>
                </c:pt>
                <c:pt idx="1">
                  <c:v>4.2</c:v>
                </c:pt>
                <c:pt idx="2">
                  <c:v>1.4</c:v>
                </c:pt>
                <c:pt idx="3">
                  <c:v>7.2</c:v>
                </c:pt>
                <c:pt idx="4">
                  <c:v>7.2</c:v>
                </c:pt>
                <c:pt idx="5">
                  <c:v>5.4</c:v>
                </c:pt>
                <c:pt idx="6">
                  <c:v>4.8</c:v>
                </c:pt>
                <c:pt idx="7">
                  <c:v>6</c:v>
                </c:pt>
                <c:pt idx="8">
                  <c:v>6</c:v>
                </c:pt>
                <c:pt idx="9">
                  <c:v>4.2</c:v>
                </c:pt>
              </c:numCache>
            </c:numRef>
          </c:val>
          <c:extLst>
            <c:ext xmlns:c16="http://schemas.microsoft.com/office/drawing/2014/chart" uri="{C3380CC4-5D6E-409C-BE32-E72D297353CC}">
              <c16:uniqueId val="{00000000-A9EF-4DBA-9E84-8648459EACEA}"/>
            </c:ext>
          </c:extLst>
        </c:ser>
        <c:ser>
          <c:idx val="1"/>
          <c:order val="1"/>
          <c:tx>
            <c:strRef>
              <c:f>Nurmikone!$S$24</c:f>
              <c:strCache>
                <c:ptCount val="1"/>
                <c:pt idx="0">
                  <c:v>Polttoaineen kulutus
l/ha</c:v>
                </c:pt>
              </c:strCache>
            </c:strRef>
          </c:tx>
          <c:spPr>
            <a:solidFill>
              <a:schemeClr val="accent2"/>
            </a:solidFill>
            <a:ln>
              <a:solidFill>
                <a:sysClr val="windowText" lastClr="000000"/>
              </a:solidFill>
            </a:ln>
            <a:effectLst/>
          </c:spPr>
          <c:invertIfNegative val="0"/>
          <c:cat>
            <c:strRef>
              <c:f>Nurmikone!$B$25:$B$34</c:f>
              <c:strCache>
                <c:ptCount val="10"/>
                <c:pt idx="0">
                  <c:v>Pyöröpaalain, kiinteä kammio </c:v>
                </c:pt>
                <c:pt idx="1">
                  <c:v>Pyöröpaalain, muuttuva kammio </c:v>
                </c:pt>
                <c:pt idx="2">
                  <c:v>Niittosilppuri 1</c:v>
                </c:pt>
                <c:pt idx="3">
                  <c:v>Lautasniittokone </c:v>
                </c:pt>
                <c:pt idx="4">
                  <c:v>Lautasniittomurskain </c:v>
                </c:pt>
                <c:pt idx="5">
                  <c:v>Sormipalkkiniittomurskain </c:v>
                </c:pt>
                <c:pt idx="6">
                  <c:v>Sormipalkkiniittokone </c:v>
                </c:pt>
                <c:pt idx="7">
                  <c:v>Pyöröharava </c:v>
                </c:pt>
                <c:pt idx="8">
                  <c:v>Pöyhin/karhotin </c:v>
                </c:pt>
                <c:pt idx="9">
                  <c:v>Noukinvaunu </c:v>
                </c:pt>
              </c:strCache>
            </c:strRef>
          </c:cat>
          <c:val>
            <c:numRef>
              <c:f>Nurmikone!$S$25:$S$34</c:f>
              <c:numCache>
                <c:formatCode>0.0</c:formatCode>
                <c:ptCount val="10"/>
                <c:pt idx="0">
                  <c:v>8.6170557228915658</c:v>
                </c:pt>
                <c:pt idx="1">
                  <c:v>5.5266888984509466</c:v>
                </c:pt>
                <c:pt idx="2">
                  <c:v>10.540243115318416</c:v>
                </c:pt>
                <c:pt idx="3">
                  <c:v>2.4367921686746992</c:v>
                </c:pt>
                <c:pt idx="4">
                  <c:v>3.3921159638554221</c:v>
                </c:pt>
                <c:pt idx="5">
                  <c:v>2.7897063253012049</c:v>
                </c:pt>
                <c:pt idx="6">
                  <c:v>1.4212274096385544</c:v>
                </c:pt>
                <c:pt idx="7">
                  <c:v>1.6364231927710844</c:v>
                </c:pt>
                <c:pt idx="8">
                  <c:v>1.4557003012048195</c:v>
                </c:pt>
                <c:pt idx="9">
                  <c:v>8.26570030120482</c:v>
                </c:pt>
              </c:numCache>
            </c:numRef>
          </c:val>
          <c:extLst>
            <c:ext xmlns:c16="http://schemas.microsoft.com/office/drawing/2014/chart" uri="{C3380CC4-5D6E-409C-BE32-E72D297353CC}">
              <c16:uniqueId val="{00000001-A9EF-4DBA-9E84-8648459EACEA}"/>
            </c:ext>
          </c:extLst>
        </c:ser>
        <c:dLbls>
          <c:showLegendKey val="0"/>
          <c:showVal val="0"/>
          <c:showCatName val="0"/>
          <c:showSerName val="0"/>
          <c:showPercent val="0"/>
          <c:showBubbleSize val="0"/>
        </c:dLbls>
        <c:gapWidth val="30"/>
        <c:axId val="42585200"/>
        <c:axId val="42578480"/>
      </c:barChart>
      <c:catAx>
        <c:axId val="425852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42578480"/>
        <c:crosses val="autoZero"/>
        <c:auto val="1"/>
        <c:lblAlgn val="ctr"/>
        <c:lblOffset val="100"/>
        <c:noMultiLvlLbl val="0"/>
      </c:catAx>
      <c:valAx>
        <c:axId val="4257848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42585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Nurmikone!$T$24</c:f>
              <c:strCache>
                <c:ptCount val="1"/>
                <c:pt idx="0">
                  <c:v>Hiilidioksidi-ekvivalentti-päästö
kgCO2e/ha</c:v>
                </c:pt>
              </c:strCache>
            </c:strRef>
          </c:tx>
          <c:spPr>
            <a:solidFill>
              <a:schemeClr val="accent1"/>
            </a:solidFill>
            <a:ln>
              <a:solidFill>
                <a:sysClr val="windowText" lastClr="000000"/>
              </a:solidFill>
            </a:ln>
            <a:effectLst/>
          </c:spPr>
          <c:invertIfNegative val="0"/>
          <c:cat>
            <c:strRef>
              <c:f>Nurmikone!$B$25:$B$34</c:f>
              <c:strCache>
                <c:ptCount val="10"/>
                <c:pt idx="0">
                  <c:v>Pyöröpaalain, kiinteä kammio </c:v>
                </c:pt>
                <c:pt idx="1">
                  <c:v>Pyöröpaalain, muuttuva kammio </c:v>
                </c:pt>
                <c:pt idx="2">
                  <c:v>Niittosilppuri 1</c:v>
                </c:pt>
                <c:pt idx="3">
                  <c:v>Lautasniittokone </c:v>
                </c:pt>
                <c:pt idx="4">
                  <c:v>Lautasniittomurskain </c:v>
                </c:pt>
                <c:pt idx="5">
                  <c:v>Sormipalkkiniittomurskain </c:v>
                </c:pt>
                <c:pt idx="6">
                  <c:v>Sormipalkkiniittokone </c:v>
                </c:pt>
                <c:pt idx="7">
                  <c:v>Pyöröharava </c:v>
                </c:pt>
                <c:pt idx="8">
                  <c:v>Pöyhin/karhotin </c:v>
                </c:pt>
                <c:pt idx="9">
                  <c:v>Noukinvaunu </c:v>
                </c:pt>
              </c:strCache>
            </c:strRef>
          </c:cat>
          <c:val>
            <c:numRef>
              <c:f>Nurmikone!$T$25:$T$34</c:f>
              <c:numCache>
                <c:formatCode>0</c:formatCode>
                <c:ptCount val="10"/>
                <c:pt idx="0">
                  <c:v>25.764996611445785</c:v>
                </c:pt>
                <c:pt idx="1">
                  <c:v>16.524799806368332</c:v>
                </c:pt>
                <c:pt idx="2">
                  <c:v>31.515326914802067</c:v>
                </c:pt>
                <c:pt idx="3">
                  <c:v>7.2860085843373508</c:v>
                </c:pt>
                <c:pt idx="4">
                  <c:v>10.142426731927713</c:v>
                </c:pt>
                <c:pt idx="5">
                  <c:v>8.3412219126506031</c:v>
                </c:pt>
                <c:pt idx="6">
                  <c:v>4.2494699548192783</c:v>
                </c:pt>
                <c:pt idx="7">
                  <c:v>4.8929053463855423</c:v>
                </c:pt>
                <c:pt idx="8">
                  <c:v>4.3525439006024103</c:v>
                </c:pt>
                <c:pt idx="9">
                  <c:v>24.714443900602415</c:v>
                </c:pt>
              </c:numCache>
            </c:numRef>
          </c:val>
          <c:extLst>
            <c:ext xmlns:c16="http://schemas.microsoft.com/office/drawing/2014/chart" uri="{C3380CC4-5D6E-409C-BE32-E72D297353CC}">
              <c16:uniqueId val="{00000000-0FAB-4C18-AA28-C971EB0C5C40}"/>
            </c:ext>
          </c:extLst>
        </c:ser>
        <c:ser>
          <c:idx val="1"/>
          <c:order val="1"/>
          <c:tx>
            <c:strRef>
              <c:f>Nurmikone!$Q$24</c:f>
              <c:strCache>
                <c:ptCount val="1"/>
                <c:pt idx="0">
                  <c:v>Moottoritehon tarve 
kW</c:v>
                </c:pt>
              </c:strCache>
            </c:strRef>
          </c:tx>
          <c:spPr>
            <a:solidFill>
              <a:schemeClr val="accent2"/>
            </a:solidFill>
            <a:ln>
              <a:solidFill>
                <a:sysClr val="windowText" lastClr="000000"/>
              </a:solidFill>
            </a:ln>
            <a:effectLst/>
          </c:spPr>
          <c:invertIfNegative val="0"/>
          <c:cat>
            <c:strRef>
              <c:f>Nurmikone!$B$25:$B$34</c:f>
              <c:strCache>
                <c:ptCount val="10"/>
                <c:pt idx="0">
                  <c:v>Pyöröpaalain, kiinteä kammio </c:v>
                </c:pt>
                <c:pt idx="1">
                  <c:v>Pyöröpaalain, muuttuva kammio </c:v>
                </c:pt>
                <c:pt idx="2">
                  <c:v>Niittosilppuri 1</c:v>
                </c:pt>
                <c:pt idx="3">
                  <c:v>Lautasniittokone </c:v>
                </c:pt>
                <c:pt idx="4">
                  <c:v>Lautasniittomurskain </c:v>
                </c:pt>
                <c:pt idx="5">
                  <c:v>Sormipalkkiniittomurskain </c:v>
                </c:pt>
                <c:pt idx="6">
                  <c:v>Sormipalkkiniittokone </c:v>
                </c:pt>
                <c:pt idx="7">
                  <c:v>Pyöröharava </c:v>
                </c:pt>
                <c:pt idx="8">
                  <c:v>Pöyhin/karhotin </c:v>
                </c:pt>
                <c:pt idx="9">
                  <c:v>Noukinvaunu </c:v>
                </c:pt>
              </c:strCache>
            </c:strRef>
          </c:cat>
          <c:val>
            <c:numRef>
              <c:f>Nurmikone!$Q$25:$Q$34</c:f>
              <c:numCache>
                <c:formatCode>0.0</c:formatCode>
                <c:ptCount val="10"/>
                <c:pt idx="0">
                  <c:v>71.521562500000002</c:v>
                </c:pt>
                <c:pt idx="1">
                  <c:v>64.22012500000001</c:v>
                </c:pt>
                <c:pt idx="2">
                  <c:v>40.825874999999996</c:v>
                </c:pt>
                <c:pt idx="3">
                  <c:v>48.540900000000008</c:v>
                </c:pt>
                <c:pt idx="4">
                  <c:v>67.570950000000011</c:v>
                </c:pt>
                <c:pt idx="5">
                  <c:v>41.678212500000001</c:v>
                </c:pt>
                <c:pt idx="6">
                  <c:v>18.873899999999999</c:v>
                </c:pt>
                <c:pt idx="7">
                  <c:v>27.164625000000001</c:v>
                </c:pt>
                <c:pt idx="8">
                  <c:v>24.164625000000001</c:v>
                </c:pt>
                <c:pt idx="9">
                  <c:v>96.047437500000001</c:v>
                </c:pt>
              </c:numCache>
            </c:numRef>
          </c:val>
          <c:extLst>
            <c:ext xmlns:c16="http://schemas.microsoft.com/office/drawing/2014/chart" uri="{C3380CC4-5D6E-409C-BE32-E72D297353CC}">
              <c16:uniqueId val="{00000001-0FAB-4C18-AA28-C971EB0C5C40}"/>
            </c:ext>
          </c:extLst>
        </c:ser>
        <c:dLbls>
          <c:showLegendKey val="0"/>
          <c:showVal val="0"/>
          <c:showCatName val="0"/>
          <c:showSerName val="0"/>
          <c:showPercent val="0"/>
          <c:showBubbleSize val="0"/>
        </c:dLbls>
        <c:gapWidth val="30"/>
        <c:axId val="42585200"/>
        <c:axId val="42578480"/>
      </c:barChart>
      <c:catAx>
        <c:axId val="425852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42578480"/>
        <c:crosses val="autoZero"/>
        <c:auto val="1"/>
        <c:lblAlgn val="ctr"/>
        <c:lblOffset val="100"/>
        <c:noMultiLvlLbl val="0"/>
      </c:catAx>
      <c:valAx>
        <c:axId val="42578480"/>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42585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Nurmikone!$O$24</c:f>
              <c:strCache>
                <c:ptCount val="1"/>
                <c:pt idx="0">
                  <c:v>Voimanottoakseli-
tehon tarve
kW</c:v>
                </c:pt>
              </c:strCache>
            </c:strRef>
          </c:tx>
          <c:spPr>
            <a:solidFill>
              <a:schemeClr val="accent1"/>
            </a:solidFill>
            <a:ln>
              <a:solidFill>
                <a:sysClr val="windowText" lastClr="000000"/>
              </a:solidFill>
            </a:ln>
            <a:effectLst/>
          </c:spPr>
          <c:invertIfNegative val="0"/>
          <c:cat>
            <c:strRef>
              <c:f>Nurmikone!$B$25:$B$34</c:f>
              <c:strCache>
                <c:ptCount val="10"/>
                <c:pt idx="0">
                  <c:v>Pyöröpaalain, kiinteä kammio </c:v>
                </c:pt>
                <c:pt idx="1">
                  <c:v>Pyöröpaalain, muuttuva kammio </c:v>
                </c:pt>
                <c:pt idx="2">
                  <c:v>Niittosilppuri 1</c:v>
                </c:pt>
                <c:pt idx="3">
                  <c:v>Lautasniittokone </c:v>
                </c:pt>
                <c:pt idx="4">
                  <c:v>Lautasniittomurskain </c:v>
                </c:pt>
                <c:pt idx="5">
                  <c:v>Sormipalkkiniittomurskain </c:v>
                </c:pt>
                <c:pt idx="6">
                  <c:v>Sormipalkkiniittokone </c:v>
                </c:pt>
                <c:pt idx="7">
                  <c:v>Pyöröharava </c:v>
                </c:pt>
                <c:pt idx="8">
                  <c:v>Pöyhin/karhotin </c:v>
                </c:pt>
                <c:pt idx="9">
                  <c:v>Noukinvaunu </c:v>
                </c:pt>
              </c:strCache>
            </c:strRef>
          </c:cat>
          <c:val>
            <c:numRef>
              <c:f>Nurmikone!$O$25:$O$34</c:f>
              <c:numCache>
                <c:formatCode>0.0</c:formatCode>
                <c:ptCount val="10"/>
                <c:pt idx="0">
                  <c:v>56.5</c:v>
                </c:pt>
                <c:pt idx="1">
                  <c:v>50.2</c:v>
                </c:pt>
                <c:pt idx="2">
                  <c:v>22.8</c:v>
                </c:pt>
                <c:pt idx="3">
                  <c:v>30</c:v>
                </c:pt>
                <c:pt idx="4">
                  <c:v>48</c:v>
                </c:pt>
                <c:pt idx="5">
                  <c:v>27</c:v>
                </c:pt>
                <c:pt idx="6">
                  <c:v>7.1999999999999993</c:v>
                </c:pt>
                <c:pt idx="7">
                  <c:v>12</c:v>
                </c:pt>
                <c:pt idx="8">
                  <c:v>9</c:v>
                </c:pt>
                <c:pt idx="9">
                  <c:v>63</c:v>
                </c:pt>
              </c:numCache>
            </c:numRef>
          </c:val>
          <c:extLst>
            <c:ext xmlns:c16="http://schemas.microsoft.com/office/drawing/2014/chart" uri="{C3380CC4-5D6E-409C-BE32-E72D297353CC}">
              <c16:uniqueId val="{00000000-5847-4875-B341-AD5F9C6C7D6B}"/>
            </c:ext>
          </c:extLst>
        </c:ser>
        <c:ser>
          <c:idx val="1"/>
          <c:order val="1"/>
          <c:tx>
            <c:strRef>
              <c:f>Nurmikone!$P$24</c:f>
              <c:strCache>
                <c:ptCount val="1"/>
                <c:pt idx="0">
                  <c:v>Kulkutehon tarve 
kW</c:v>
                </c:pt>
              </c:strCache>
            </c:strRef>
          </c:tx>
          <c:spPr>
            <a:solidFill>
              <a:schemeClr val="accent2"/>
            </a:solidFill>
            <a:ln>
              <a:solidFill>
                <a:sysClr val="windowText" lastClr="000000"/>
              </a:solidFill>
            </a:ln>
            <a:effectLst/>
          </c:spPr>
          <c:invertIfNegative val="0"/>
          <c:cat>
            <c:strRef>
              <c:f>Nurmikone!$B$25:$B$34</c:f>
              <c:strCache>
                <c:ptCount val="10"/>
                <c:pt idx="0">
                  <c:v>Pyöröpaalain, kiinteä kammio </c:v>
                </c:pt>
                <c:pt idx="1">
                  <c:v>Pyöröpaalain, muuttuva kammio </c:v>
                </c:pt>
                <c:pt idx="2">
                  <c:v>Niittosilppuri 1</c:v>
                </c:pt>
                <c:pt idx="3">
                  <c:v>Lautasniittokone </c:v>
                </c:pt>
                <c:pt idx="4">
                  <c:v>Lautasniittomurskain </c:v>
                </c:pt>
                <c:pt idx="5">
                  <c:v>Sormipalkkiniittomurskain </c:v>
                </c:pt>
                <c:pt idx="6">
                  <c:v>Sormipalkkiniittokone </c:v>
                </c:pt>
                <c:pt idx="7">
                  <c:v>Pyöröharava </c:v>
                </c:pt>
                <c:pt idx="8">
                  <c:v>Pöyhin/karhotin </c:v>
                </c:pt>
                <c:pt idx="9">
                  <c:v>Noukinvaunu </c:v>
                </c:pt>
              </c:strCache>
            </c:strRef>
          </c:cat>
          <c:val>
            <c:numRef>
              <c:f>Nurmikone!$P$25:$P$34</c:f>
              <c:numCache>
                <c:formatCode>0.0</c:formatCode>
                <c:ptCount val="10"/>
                <c:pt idx="0">
                  <c:v>15.021562500000002</c:v>
                </c:pt>
                <c:pt idx="1">
                  <c:v>14.020125000000004</c:v>
                </c:pt>
                <c:pt idx="2">
                  <c:v>18.025874999999999</c:v>
                </c:pt>
                <c:pt idx="3">
                  <c:v>18.540900000000004</c:v>
                </c:pt>
                <c:pt idx="4">
                  <c:v>19.570950000000003</c:v>
                </c:pt>
                <c:pt idx="5">
                  <c:v>14.678212500000003</c:v>
                </c:pt>
                <c:pt idx="6">
                  <c:v>11.6739</c:v>
                </c:pt>
                <c:pt idx="7">
                  <c:v>15.164625000000003</c:v>
                </c:pt>
                <c:pt idx="8">
                  <c:v>15.164625000000003</c:v>
                </c:pt>
                <c:pt idx="9">
                  <c:v>33.047437500000001</c:v>
                </c:pt>
              </c:numCache>
            </c:numRef>
          </c:val>
          <c:extLst>
            <c:ext xmlns:c16="http://schemas.microsoft.com/office/drawing/2014/chart" uri="{C3380CC4-5D6E-409C-BE32-E72D297353CC}">
              <c16:uniqueId val="{00000001-5847-4875-B341-AD5F9C6C7D6B}"/>
            </c:ext>
          </c:extLst>
        </c:ser>
        <c:dLbls>
          <c:showLegendKey val="0"/>
          <c:showVal val="0"/>
          <c:showCatName val="0"/>
          <c:showSerName val="0"/>
          <c:showPercent val="0"/>
          <c:showBubbleSize val="0"/>
        </c:dLbls>
        <c:gapWidth val="30"/>
        <c:overlap val="100"/>
        <c:axId val="237417904"/>
        <c:axId val="237409744"/>
      </c:barChart>
      <c:catAx>
        <c:axId val="2374179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37409744"/>
        <c:crosses val="autoZero"/>
        <c:auto val="1"/>
        <c:lblAlgn val="ctr"/>
        <c:lblOffset val="100"/>
        <c:noMultiLvlLbl val="0"/>
      </c:catAx>
      <c:valAx>
        <c:axId val="237409744"/>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237417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1199956255468068"/>
          <c:y val="5.0925925925925923E-2"/>
          <c:w val="0.55744488188976382"/>
          <c:h val="0.7166746864975212"/>
        </c:manualLayout>
      </c:layout>
      <c:barChart>
        <c:barDir val="bar"/>
        <c:grouping val="clustered"/>
        <c:varyColors val="0"/>
        <c:ser>
          <c:idx val="0"/>
          <c:order val="0"/>
          <c:spPr>
            <a:solidFill>
              <a:schemeClr val="accent1"/>
            </a:solidFill>
            <a:ln>
              <a:noFill/>
            </a:ln>
            <a:effectLst/>
          </c:spPr>
          <c:invertIfNegative val="0"/>
          <c:cat>
            <c:strRef>
              <c:f>Koneluotettavuus!$B$12:$B$15</c:f>
              <c:strCache>
                <c:ptCount val="4"/>
                <c:pt idx="0">
                  <c:v>Koneiden 1 ja 2 yhteisluotettavuus</c:v>
                </c:pt>
                <c:pt idx="1">
                  <c:v>Koneiden 1 ja 3 yhteisluotettavuus</c:v>
                </c:pt>
                <c:pt idx="2">
                  <c:v>Koneiden 2 ja 3 yhteisluotettavuus</c:v>
                </c:pt>
                <c:pt idx="3">
                  <c:v>Koneiden 1,2 ja 3 yhteisluotettavuus</c:v>
                </c:pt>
              </c:strCache>
            </c:strRef>
          </c:cat>
          <c:val>
            <c:numRef>
              <c:f>Koneluotettavuus!$C$12:$C$15</c:f>
              <c:numCache>
                <c:formatCode>General</c:formatCode>
                <c:ptCount val="4"/>
              </c:numCache>
            </c:numRef>
          </c:val>
          <c:extLst>
            <c:ext xmlns:c16="http://schemas.microsoft.com/office/drawing/2014/chart" uri="{C3380CC4-5D6E-409C-BE32-E72D297353CC}">
              <c16:uniqueId val="{00000000-CB7F-4AE4-AC4D-3424A7170388}"/>
            </c:ext>
          </c:extLst>
        </c:ser>
        <c:ser>
          <c:idx val="1"/>
          <c:order val="1"/>
          <c:spPr>
            <a:solidFill>
              <a:schemeClr val="accent2"/>
            </a:solidFill>
            <a:ln>
              <a:noFill/>
            </a:ln>
            <a:effectLst/>
          </c:spPr>
          <c:invertIfNegative val="0"/>
          <c:cat>
            <c:strRef>
              <c:f>Koneluotettavuus!$B$12:$B$15</c:f>
              <c:strCache>
                <c:ptCount val="4"/>
                <c:pt idx="0">
                  <c:v>Koneiden 1 ja 2 yhteisluotettavuus</c:v>
                </c:pt>
                <c:pt idx="1">
                  <c:v>Koneiden 1 ja 3 yhteisluotettavuus</c:v>
                </c:pt>
                <c:pt idx="2">
                  <c:v>Koneiden 2 ja 3 yhteisluotettavuus</c:v>
                </c:pt>
                <c:pt idx="3">
                  <c:v>Koneiden 1,2 ja 3 yhteisluotettavuus</c:v>
                </c:pt>
              </c:strCache>
            </c:strRef>
          </c:cat>
          <c:val>
            <c:numRef>
              <c:f>Koneluotettavuus!$D$12:$D$15</c:f>
              <c:numCache>
                <c:formatCode>0%</c:formatCode>
                <c:ptCount val="4"/>
                <c:pt idx="0">
                  <c:v>0.9325</c:v>
                </c:pt>
                <c:pt idx="1">
                  <c:v>0.98199999999999998</c:v>
                </c:pt>
                <c:pt idx="2">
                  <c:v>0.94599999999999995</c:v>
                </c:pt>
                <c:pt idx="3">
                  <c:v>0.9919</c:v>
                </c:pt>
              </c:numCache>
            </c:numRef>
          </c:val>
          <c:extLst>
            <c:ext xmlns:c16="http://schemas.microsoft.com/office/drawing/2014/chart" uri="{C3380CC4-5D6E-409C-BE32-E72D297353CC}">
              <c16:uniqueId val="{00000001-CB7F-4AE4-AC4D-3424A7170388}"/>
            </c:ext>
          </c:extLst>
        </c:ser>
        <c:dLbls>
          <c:showLegendKey val="0"/>
          <c:showVal val="0"/>
          <c:showCatName val="0"/>
          <c:showSerName val="0"/>
          <c:showPercent val="0"/>
          <c:showBubbleSize val="0"/>
        </c:dLbls>
        <c:gapWidth val="20"/>
        <c:axId val="839761359"/>
        <c:axId val="839761839"/>
      </c:barChart>
      <c:catAx>
        <c:axId val="83976135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39761839"/>
        <c:crosses val="autoZero"/>
        <c:auto val="1"/>
        <c:lblAlgn val="ctr"/>
        <c:lblOffset val="100"/>
        <c:noMultiLvlLbl val="0"/>
      </c:catAx>
      <c:valAx>
        <c:axId val="839761839"/>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397613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Kylvökapasiteetti!$B$15</c:f>
              <c:strCache>
                <c:ptCount val="1"/>
                <c:pt idx="0">
                  <c:v>Tasausäestys</c:v>
                </c:pt>
              </c:strCache>
            </c:strRef>
          </c:tx>
          <c:spPr>
            <a:solidFill>
              <a:schemeClr val="accent1"/>
            </a:solidFill>
            <a:ln>
              <a:solidFill>
                <a:sysClr val="windowText" lastClr="000000"/>
              </a:solidFill>
            </a:ln>
            <a:effectLst/>
          </c:spPr>
          <c:invertIfNegative val="0"/>
          <c:val>
            <c:numRef>
              <c:f>Kylvökapasiteetti!$F$18</c:f>
              <c:numCache>
                <c:formatCode>0.0</c:formatCode>
                <c:ptCount val="1"/>
                <c:pt idx="0">
                  <c:v>0.85761086764491523</c:v>
                </c:pt>
              </c:numCache>
            </c:numRef>
          </c:val>
          <c:extLst>
            <c:ext xmlns:c16="http://schemas.microsoft.com/office/drawing/2014/chart" uri="{C3380CC4-5D6E-409C-BE32-E72D297353CC}">
              <c16:uniqueId val="{00000000-5FBD-4FB6-830F-5AD7DDF92A71}"/>
            </c:ext>
          </c:extLst>
        </c:ser>
        <c:ser>
          <c:idx val="1"/>
          <c:order val="1"/>
          <c:tx>
            <c:strRef>
              <c:f>Kylvökapasiteetti!$B$24</c:f>
              <c:strCache>
                <c:ptCount val="1"/>
                <c:pt idx="0">
                  <c:v>Äestys</c:v>
                </c:pt>
              </c:strCache>
            </c:strRef>
          </c:tx>
          <c:spPr>
            <a:solidFill>
              <a:schemeClr val="accent2"/>
            </a:solidFill>
            <a:ln>
              <a:noFill/>
            </a:ln>
            <a:effectLst/>
          </c:spPr>
          <c:invertIfNegative val="0"/>
          <c:dPt>
            <c:idx val="0"/>
            <c:invertIfNegative val="0"/>
            <c:bubble3D val="0"/>
            <c:spPr>
              <a:solidFill>
                <a:schemeClr val="accent2"/>
              </a:solidFill>
              <a:ln>
                <a:solidFill>
                  <a:sysClr val="windowText" lastClr="000000"/>
                </a:solidFill>
              </a:ln>
              <a:effectLst/>
            </c:spPr>
            <c:extLst>
              <c:ext xmlns:c16="http://schemas.microsoft.com/office/drawing/2014/chart" uri="{C3380CC4-5D6E-409C-BE32-E72D297353CC}">
                <c16:uniqueId val="{00000002-5FBD-4FB6-830F-5AD7DDF92A71}"/>
              </c:ext>
            </c:extLst>
          </c:dPt>
          <c:val>
            <c:numRef>
              <c:f>Kylvökapasiteetti!$F$28</c:f>
              <c:numCache>
                <c:formatCode>0.0</c:formatCode>
                <c:ptCount val="1"/>
                <c:pt idx="0">
                  <c:v>3.8736338136509012</c:v>
                </c:pt>
              </c:numCache>
            </c:numRef>
          </c:val>
          <c:extLst>
            <c:ext xmlns:c16="http://schemas.microsoft.com/office/drawing/2014/chart" uri="{C3380CC4-5D6E-409C-BE32-E72D297353CC}">
              <c16:uniqueId val="{00000003-5FBD-4FB6-830F-5AD7DDF92A71}"/>
            </c:ext>
          </c:extLst>
        </c:ser>
        <c:ser>
          <c:idx val="2"/>
          <c:order val="2"/>
          <c:tx>
            <c:strRef>
              <c:f>Kylvökapasiteetti!$B$38</c:f>
              <c:strCache>
                <c:ptCount val="1"/>
                <c:pt idx="0">
                  <c:v>Kylvö</c:v>
                </c:pt>
              </c:strCache>
            </c:strRef>
          </c:tx>
          <c:spPr>
            <a:solidFill>
              <a:schemeClr val="accent3"/>
            </a:solidFill>
            <a:ln>
              <a:solidFill>
                <a:sysClr val="windowText" lastClr="000000"/>
              </a:solidFill>
            </a:ln>
            <a:effectLst/>
          </c:spPr>
          <c:invertIfNegative val="0"/>
          <c:val>
            <c:numRef>
              <c:f>Kylvökapasiteetti!$E$45</c:f>
              <c:numCache>
                <c:formatCode>0.0</c:formatCode>
                <c:ptCount val="1"/>
                <c:pt idx="0">
                  <c:v>5.268755310030814</c:v>
                </c:pt>
              </c:numCache>
            </c:numRef>
          </c:val>
          <c:extLst>
            <c:ext xmlns:c16="http://schemas.microsoft.com/office/drawing/2014/chart" uri="{C3380CC4-5D6E-409C-BE32-E72D297353CC}">
              <c16:uniqueId val="{00000004-5FBD-4FB6-830F-5AD7DDF92A71}"/>
            </c:ext>
          </c:extLst>
        </c:ser>
        <c:dLbls>
          <c:showLegendKey val="0"/>
          <c:showVal val="0"/>
          <c:showCatName val="0"/>
          <c:showSerName val="0"/>
          <c:showPercent val="0"/>
          <c:showBubbleSize val="0"/>
        </c:dLbls>
        <c:gapWidth val="219"/>
        <c:overlap val="100"/>
        <c:axId val="1951907087"/>
        <c:axId val="1951904687"/>
      </c:barChart>
      <c:catAx>
        <c:axId val="1951907087"/>
        <c:scaling>
          <c:orientation val="minMax"/>
        </c:scaling>
        <c:delete val="1"/>
        <c:axPos val="b"/>
        <c:numFmt formatCode="General" sourceLinked="1"/>
        <c:majorTickMark val="none"/>
        <c:minorTickMark val="none"/>
        <c:tickLblPos val="nextTo"/>
        <c:crossAx val="1951904687"/>
        <c:crosses val="autoZero"/>
        <c:auto val="1"/>
        <c:lblAlgn val="ctr"/>
        <c:lblOffset val="100"/>
        <c:noMultiLvlLbl val="0"/>
      </c:catAx>
      <c:valAx>
        <c:axId val="195190468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Vuorokautta</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fi-FI"/>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9519070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Lit>
              <c:ptCount val="2"/>
              <c:pt idx="0">
                <c:v>Äestys</c:v>
              </c:pt>
              <c:pt idx="1">
                <c:v>Kylvö</c:v>
              </c:pt>
            </c:strLit>
          </c:cat>
          <c:val>
            <c:numRef>
              <c:f>('Kylvökapasiteetti 2 tekijää'!$C$41,'Kylvökapasiteetti 2 tekijää'!$I$41)</c:f>
              <c:numCache>
                <c:formatCode>0.0</c:formatCode>
                <c:ptCount val="2"/>
                <c:pt idx="0">
                  <c:v>4.7411317777350961</c:v>
                </c:pt>
                <c:pt idx="1">
                  <c:v>7.4198654531064516</c:v>
                </c:pt>
              </c:numCache>
            </c:numRef>
          </c:val>
          <c:extLst>
            <c:ext xmlns:c16="http://schemas.microsoft.com/office/drawing/2014/chart" uri="{C3380CC4-5D6E-409C-BE32-E72D297353CC}">
              <c16:uniqueId val="{00000000-57E7-45EC-B9F1-18E7A43B0FD5}"/>
            </c:ext>
          </c:extLst>
        </c:ser>
        <c:dLbls>
          <c:showLegendKey val="0"/>
          <c:showVal val="0"/>
          <c:showCatName val="0"/>
          <c:showSerName val="0"/>
          <c:showPercent val="0"/>
          <c:showBubbleSize val="0"/>
        </c:dLbls>
        <c:gapWidth val="219"/>
        <c:overlap val="-27"/>
        <c:axId val="160091631"/>
        <c:axId val="160089711"/>
      </c:barChart>
      <c:catAx>
        <c:axId val="1600916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60089711"/>
        <c:crosses val="autoZero"/>
        <c:auto val="1"/>
        <c:lblAlgn val="ctr"/>
        <c:lblOffset val="100"/>
        <c:noMultiLvlLbl val="0"/>
      </c:catAx>
      <c:valAx>
        <c:axId val="160089711"/>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Työaika vrk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600916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fi-FI" sz="1200"/>
              <a:t>Perinteinen</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stacked"/>
        <c:varyColors val="0"/>
        <c:ser>
          <c:idx val="0"/>
          <c:order val="0"/>
          <c:tx>
            <c:strRef>
              <c:f>Suorakylvö!$B$13</c:f>
              <c:strCache>
                <c:ptCount val="1"/>
                <c:pt idx="0">
                  <c:v>Tasausäestys</c:v>
                </c:pt>
              </c:strCache>
            </c:strRef>
          </c:tx>
          <c:spPr>
            <a:solidFill>
              <a:schemeClr val="accent1"/>
            </a:solidFill>
            <a:ln>
              <a:solidFill>
                <a:sysClr val="windowText" lastClr="000000"/>
              </a:solidFill>
            </a:ln>
            <a:effectLst/>
          </c:spPr>
          <c:invertIfNegative val="0"/>
          <c:val>
            <c:numRef>
              <c:f>Suorakylvö!$F$19</c:f>
              <c:numCache>
                <c:formatCode>0.0</c:formatCode>
                <c:ptCount val="1"/>
                <c:pt idx="0">
                  <c:v>0.85761086764491501</c:v>
                </c:pt>
              </c:numCache>
            </c:numRef>
          </c:val>
          <c:extLst>
            <c:ext xmlns:c16="http://schemas.microsoft.com/office/drawing/2014/chart" uri="{C3380CC4-5D6E-409C-BE32-E72D297353CC}">
              <c16:uniqueId val="{00000000-AA52-4169-8697-3400D7F1A978}"/>
            </c:ext>
          </c:extLst>
        </c:ser>
        <c:ser>
          <c:idx val="1"/>
          <c:order val="1"/>
          <c:tx>
            <c:strRef>
              <c:f>Suorakylvö!$B$25</c:f>
              <c:strCache>
                <c:ptCount val="1"/>
                <c:pt idx="0">
                  <c:v>Äestys</c:v>
                </c:pt>
              </c:strCache>
            </c:strRef>
          </c:tx>
          <c:spPr>
            <a:solidFill>
              <a:schemeClr val="accent2"/>
            </a:solidFill>
            <a:ln>
              <a:noFill/>
            </a:ln>
            <a:effectLst/>
          </c:spPr>
          <c:invertIfNegative val="0"/>
          <c:dPt>
            <c:idx val="0"/>
            <c:invertIfNegative val="0"/>
            <c:bubble3D val="0"/>
            <c:spPr>
              <a:solidFill>
                <a:schemeClr val="accent2"/>
              </a:solidFill>
              <a:ln>
                <a:solidFill>
                  <a:sysClr val="windowText" lastClr="000000"/>
                </a:solidFill>
              </a:ln>
              <a:effectLst/>
            </c:spPr>
            <c:extLst>
              <c:ext xmlns:c16="http://schemas.microsoft.com/office/drawing/2014/chart" uri="{C3380CC4-5D6E-409C-BE32-E72D297353CC}">
                <c16:uniqueId val="{00000002-AA52-4169-8697-3400D7F1A978}"/>
              </c:ext>
            </c:extLst>
          </c:dPt>
          <c:val>
            <c:numRef>
              <c:f>Suorakylvö!$F$30</c:f>
              <c:numCache>
                <c:formatCode>0.0</c:formatCode>
                <c:ptCount val="1"/>
                <c:pt idx="0">
                  <c:v>3.8835209100901809</c:v>
                </c:pt>
              </c:numCache>
            </c:numRef>
          </c:val>
          <c:extLst>
            <c:ext xmlns:c16="http://schemas.microsoft.com/office/drawing/2014/chart" uri="{C3380CC4-5D6E-409C-BE32-E72D297353CC}">
              <c16:uniqueId val="{00000003-AA52-4169-8697-3400D7F1A978}"/>
            </c:ext>
          </c:extLst>
        </c:ser>
        <c:ser>
          <c:idx val="2"/>
          <c:order val="2"/>
          <c:tx>
            <c:strRef>
              <c:f>Suorakylvö!$B$36</c:f>
              <c:strCache>
                <c:ptCount val="1"/>
                <c:pt idx="0">
                  <c:v>Kylvö</c:v>
                </c:pt>
              </c:strCache>
            </c:strRef>
          </c:tx>
          <c:spPr>
            <a:solidFill>
              <a:schemeClr val="accent3"/>
            </a:solidFill>
            <a:ln>
              <a:solidFill>
                <a:sysClr val="windowText" lastClr="000000"/>
              </a:solidFill>
            </a:ln>
            <a:effectLst/>
          </c:spPr>
          <c:invertIfNegative val="0"/>
          <c:val>
            <c:numRef>
              <c:f>Suorakylvö!$F$40</c:f>
              <c:numCache>
                <c:formatCode>0.0</c:formatCode>
                <c:ptCount val="1"/>
                <c:pt idx="0">
                  <c:v>5.2999038950760369</c:v>
                </c:pt>
              </c:numCache>
            </c:numRef>
          </c:val>
          <c:extLst>
            <c:ext xmlns:c16="http://schemas.microsoft.com/office/drawing/2014/chart" uri="{C3380CC4-5D6E-409C-BE32-E72D297353CC}">
              <c16:uniqueId val="{00000004-AA52-4169-8697-3400D7F1A978}"/>
            </c:ext>
          </c:extLst>
        </c:ser>
        <c:dLbls>
          <c:showLegendKey val="0"/>
          <c:showVal val="0"/>
          <c:showCatName val="0"/>
          <c:showSerName val="0"/>
          <c:showPercent val="0"/>
          <c:showBubbleSize val="0"/>
        </c:dLbls>
        <c:gapWidth val="150"/>
        <c:overlap val="100"/>
        <c:axId val="1705371647"/>
        <c:axId val="1855842399"/>
      </c:barChart>
      <c:catAx>
        <c:axId val="1705371647"/>
        <c:scaling>
          <c:orientation val="minMax"/>
        </c:scaling>
        <c:delete val="1"/>
        <c:axPos val="b"/>
        <c:numFmt formatCode="General" sourceLinked="1"/>
        <c:majorTickMark val="none"/>
        <c:minorTickMark val="none"/>
        <c:tickLblPos val="nextTo"/>
        <c:crossAx val="1855842399"/>
        <c:crosses val="autoZero"/>
        <c:auto val="1"/>
        <c:lblAlgn val="ctr"/>
        <c:lblOffset val="100"/>
        <c:noMultiLvlLbl val="0"/>
      </c:catAx>
      <c:valAx>
        <c:axId val="18558423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Vuorokautta</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fi-FI"/>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7053716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fi-FI" sz="1200"/>
              <a:t>Perinteinen/Suorakylvö</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clustered"/>
        <c:varyColors val="0"/>
        <c:ser>
          <c:idx val="0"/>
          <c:order val="0"/>
          <c:tx>
            <c:strRef>
              <c:f>Suorakylvö!$C$50</c:f>
              <c:strCache>
                <c:ptCount val="1"/>
                <c:pt idx="0">
                  <c:v>Perinteinen</c:v>
                </c:pt>
              </c:strCache>
            </c:strRef>
          </c:tx>
          <c:spPr>
            <a:solidFill>
              <a:schemeClr val="accent1"/>
            </a:solidFill>
            <a:ln>
              <a:solidFill>
                <a:sysClr val="windowText" lastClr="000000"/>
              </a:solidFill>
            </a:ln>
            <a:effectLst/>
          </c:spPr>
          <c:invertIfNegative val="0"/>
          <c:val>
            <c:numRef>
              <c:f>Suorakylvö!$C$52</c:f>
              <c:numCache>
                <c:formatCode>0</c:formatCode>
                <c:ptCount val="1"/>
                <c:pt idx="0">
                  <c:v>10.041035672811134</c:v>
                </c:pt>
              </c:numCache>
            </c:numRef>
          </c:val>
          <c:extLst>
            <c:ext xmlns:c16="http://schemas.microsoft.com/office/drawing/2014/chart" uri="{C3380CC4-5D6E-409C-BE32-E72D297353CC}">
              <c16:uniqueId val="{00000000-0D57-426C-83EB-722CF3BA8B86}"/>
            </c:ext>
          </c:extLst>
        </c:ser>
        <c:ser>
          <c:idx val="1"/>
          <c:order val="1"/>
          <c:tx>
            <c:strRef>
              <c:f>Suorakylvö!$J$14</c:f>
              <c:strCache>
                <c:ptCount val="1"/>
                <c:pt idx="0">
                  <c:v>Suorakylvö</c:v>
                </c:pt>
              </c:strCache>
            </c:strRef>
          </c:tx>
          <c:spPr>
            <a:solidFill>
              <a:schemeClr val="accent2"/>
            </a:solidFill>
            <a:ln>
              <a:solidFill>
                <a:sysClr val="windowText" lastClr="000000"/>
              </a:solidFill>
            </a:ln>
            <a:effectLst/>
          </c:spPr>
          <c:invertIfNegative val="0"/>
          <c:val>
            <c:numRef>
              <c:f>Suorakylvö!$M$25</c:f>
              <c:numCache>
                <c:formatCode>0.0</c:formatCode>
                <c:ptCount val="1"/>
                <c:pt idx="0">
                  <c:v>7.9145231499802149</c:v>
                </c:pt>
              </c:numCache>
            </c:numRef>
          </c:val>
          <c:extLst>
            <c:ext xmlns:c16="http://schemas.microsoft.com/office/drawing/2014/chart" uri="{C3380CC4-5D6E-409C-BE32-E72D297353CC}">
              <c16:uniqueId val="{00000001-0D57-426C-83EB-722CF3BA8B86}"/>
            </c:ext>
          </c:extLst>
        </c:ser>
        <c:dLbls>
          <c:showLegendKey val="0"/>
          <c:showVal val="0"/>
          <c:showCatName val="0"/>
          <c:showSerName val="0"/>
          <c:showPercent val="0"/>
          <c:showBubbleSize val="0"/>
        </c:dLbls>
        <c:gapWidth val="219"/>
        <c:overlap val="-27"/>
        <c:axId val="1853174623"/>
        <c:axId val="1853176543"/>
      </c:barChart>
      <c:catAx>
        <c:axId val="1853174623"/>
        <c:scaling>
          <c:orientation val="minMax"/>
        </c:scaling>
        <c:delete val="1"/>
        <c:axPos val="b"/>
        <c:majorTickMark val="none"/>
        <c:minorTickMark val="none"/>
        <c:tickLblPos val="nextTo"/>
        <c:crossAx val="1853176543"/>
        <c:crosses val="autoZero"/>
        <c:auto val="1"/>
        <c:lblAlgn val="ctr"/>
        <c:lblOffset val="100"/>
        <c:noMultiLvlLbl val="0"/>
      </c:catAx>
      <c:valAx>
        <c:axId val="18531765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Vuorokautta</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fi-FI"/>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8531746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fi-FI" sz="1200"/>
              <a:t>Perinteinen/Suorakylvö</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col"/>
        <c:grouping val="clustered"/>
        <c:varyColors val="0"/>
        <c:ser>
          <c:idx val="0"/>
          <c:order val="0"/>
          <c:tx>
            <c:strRef>
              <c:f>Suorakylvö!$C$50</c:f>
              <c:strCache>
                <c:ptCount val="1"/>
                <c:pt idx="0">
                  <c:v>Perinteinen</c:v>
                </c:pt>
              </c:strCache>
            </c:strRef>
          </c:tx>
          <c:spPr>
            <a:solidFill>
              <a:schemeClr val="accent1"/>
            </a:solidFill>
            <a:ln>
              <a:noFill/>
            </a:ln>
            <a:effectLst/>
          </c:spPr>
          <c:invertIfNegative val="0"/>
          <c:val>
            <c:numRef>
              <c:f>Suorakylvö!$C$55</c:f>
              <c:numCache>
                <c:formatCode>0</c:formatCode>
                <c:ptCount val="1"/>
                <c:pt idx="0">
                  <c:v>7137.4325972593888</c:v>
                </c:pt>
              </c:numCache>
            </c:numRef>
          </c:val>
          <c:extLst>
            <c:ext xmlns:c16="http://schemas.microsoft.com/office/drawing/2014/chart" uri="{C3380CC4-5D6E-409C-BE32-E72D297353CC}">
              <c16:uniqueId val="{00000000-8518-4E01-8ECF-2F94840AEBE4}"/>
            </c:ext>
          </c:extLst>
        </c:ser>
        <c:ser>
          <c:idx val="1"/>
          <c:order val="1"/>
          <c:tx>
            <c:strRef>
              <c:f>Suorakylvö!$J$14</c:f>
              <c:strCache>
                <c:ptCount val="1"/>
                <c:pt idx="0">
                  <c:v>Suorakylvö</c:v>
                </c:pt>
              </c:strCache>
            </c:strRef>
          </c:tx>
          <c:spPr>
            <a:solidFill>
              <a:schemeClr val="accent2"/>
            </a:solidFill>
            <a:ln>
              <a:noFill/>
            </a:ln>
            <a:effectLst/>
          </c:spPr>
          <c:invertIfNegative val="0"/>
          <c:val>
            <c:numRef>
              <c:f>Suorakylvö!$D$55</c:f>
              <c:numCache>
                <c:formatCode>0</c:formatCode>
                <c:ptCount val="1"/>
                <c:pt idx="0">
                  <c:v>9497.4277799762585</c:v>
                </c:pt>
              </c:numCache>
            </c:numRef>
          </c:val>
          <c:extLst>
            <c:ext xmlns:c16="http://schemas.microsoft.com/office/drawing/2014/chart" uri="{C3380CC4-5D6E-409C-BE32-E72D297353CC}">
              <c16:uniqueId val="{00000001-8518-4E01-8ECF-2F94840AEBE4}"/>
            </c:ext>
          </c:extLst>
        </c:ser>
        <c:dLbls>
          <c:showLegendKey val="0"/>
          <c:showVal val="0"/>
          <c:showCatName val="0"/>
          <c:showSerName val="0"/>
          <c:showPercent val="0"/>
          <c:showBubbleSize val="0"/>
        </c:dLbls>
        <c:gapWidth val="219"/>
        <c:overlap val="-27"/>
        <c:axId val="1853174623"/>
        <c:axId val="1853176543"/>
      </c:barChart>
      <c:catAx>
        <c:axId val="1853174623"/>
        <c:scaling>
          <c:orientation val="minMax"/>
        </c:scaling>
        <c:delete val="1"/>
        <c:axPos val="b"/>
        <c:majorTickMark val="none"/>
        <c:minorTickMark val="none"/>
        <c:tickLblPos val="nextTo"/>
        <c:crossAx val="1853176543"/>
        <c:crosses val="autoZero"/>
        <c:auto val="1"/>
        <c:lblAlgn val="ctr"/>
        <c:lblOffset val="100"/>
        <c:noMultiLvlLbl val="0"/>
      </c:catAx>
      <c:valAx>
        <c:axId val="18531765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b="1"/>
                  <a:t>Kustannus</a:t>
                </a:r>
                <a:r>
                  <a:rPr lang="en-US" b="1" baseline="0"/>
                  <a:t> €</a:t>
                </a:r>
                <a:endParaRPr lang="en-US" b="1"/>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fi-FI"/>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8531746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F43-4AAC-AD10-1874708CE51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F43-4AAC-AD10-1874708CE51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F43-4AAC-AD10-1874708CE519}"/>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Nurmiketju!$D$64:$H$64</c:f>
              <c:strCache>
                <c:ptCount val="5"/>
                <c:pt idx="0">
                  <c:v>Niitto </c:v>
                </c:pt>
                <c:pt idx="1">
                  <c:v>Esikuivaus</c:v>
                </c:pt>
                <c:pt idx="2">
                  <c:v>Karhotus</c:v>
                </c:pt>
                <c:pt idx="3">
                  <c:v>Korjuu</c:v>
                </c:pt>
                <c:pt idx="4">
                  <c:v>Kuljetus</c:v>
                </c:pt>
              </c:strCache>
            </c:strRef>
          </c:cat>
          <c:val>
            <c:numRef>
              <c:f>Nurmiketju!$D$66:$F$66</c:f>
              <c:numCache>
                <c:formatCode>General</c:formatCode>
                <c:ptCount val="3"/>
                <c:pt idx="0" formatCode="0.0">
                  <c:v>8.0996581944241957</c:v>
                </c:pt>
                <c:pt idx="1">
                  <c:v>5</c:v>
                </c:pt>
                <c:pt idx="2" formatCode="0.0">
                  <c:v>6.9425641666493121</c:v>
                </c:pt>
              </c:numCache>
            </c:numRef>
          </c:val>
          <c:extLst>
            <c:ext xmlns:c16="http://schemas.microsoft.com/office/drawing/2014/chart" uri="{C3380CC4-5D6E-409C-BE32-E72D297353CC}">
              <c16:uniqueId val="{00000006-3F43-4AAC-AD10-1874708CE519}"/>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5" Type="http://schemas.openxmlformats.org/officeDocument/2006/relationships/image" Target="../media/image3.png"/><Relationship Id="rId4" Type="http://schemas.openxmlformats.org/officeDocument/2006/relationships/chart" Target="../charts/chart16.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5" Type="http://schemas.openxmlformats.org/officeDocument/2006/relationships/image" Target="../media/image3.png"/><Relationship Id="rId4" Type="http://schemas.openxmlformats.org/officeDocument/2006/relationships/chart" Target="../charts/chart20.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image" Target="../media/image5.png"/><Relationship Id="rId4" Type="http://schemas.openxmlformats.org/officeDocument/2006/relationships/chart" Target="../charts/chart25.xm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0</xdr:col>
      <xdr:colOff>473442</xdr:colOff>
      <xdr:row>15</xdr:row>
      <xdr:rowOff>135922</xdr:rowOff>
    </xdr:from>
    <xdr:ext cx="9536971" cy="1595117"/>
    <xdr:sp macro="" textlink="">
      <xdr:nvSpPr>
        <xdr:cNvPr id="2" name="Rectangle 1">
          <a:extLst>
            <a:ext uri="{FF2B5EF4-FFF2-40B4-BE49-F238E27FC236}">
              <a16:creationId xmlns:a16="http://schemas.microsoft.com/office/drawing/2014/main" id="{3B424D33-1EA9-4BC6-A8F5-B48CD173C657}"/>
            </a:ext>
          </a:extLst>
        </xdr:cNvPr>
        <xdr:cNvSpPr/>
      </xdr:nvSpPr>
      <xdr:spPr>
        <a:xfrm rot="19497488">
          <a:off x="473442" y="2593372"/>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3</xdr:col>
      <xdr:colOff>552450</xdr:colOff>
      <xdr:row>51</xdr:row>
      <xdr:rowOff>149224</xdr:rowOff>
    </xdr:from>
    <xdr:to>
      <xdr:col>6</xdr:col>
      <xdr:colOff>1409700</xdr:colOff>
      <xdr:row>69</xdr:row>
      <xdr:rowOff>12699</xdr:rowOff>
    </xdr:to>
    <xdr:graphicFrame macro="">
      <xdr:nvGraphicFramePr>
        <xdr:cNvPr id="2" name="Chart 1">
          <a:extLst>
            <a:ext uri="{FF2B5EF4-FFF2-40B4-BE49-F238E27FC236}">
              <a16:creationId xmlns:a16="http://schemas.microsoft.com/office/drawing/2014/main" id="{9DA5FA15-8D2C-45A1-B4D3-133430F17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463550</xdr:colOff>
      <xdr:row>14</xdr:row>
      <xdr:rowOff>116874</xdr:rowOff>
    </xdr:from>
    <xdr:ext cx="9536971" cy="1595117"/>
    <xdr:sp macro="" textlink="">
      <xdr:nvSpPr>
        <xdr:cNvPr id="3" name="Rectangle 2">
          <a:extLst>
            <a:ext uri="{FF2B5EF4-FFF2-40B4-BE49-F238E27FC236}">
              <a16:creationId xmlns:a16="http://schemas.microsoft.com/office/drawing/2014/main" id="{B044B1DE-2086-4553-BB2C-EFF338FDDB2A}"/>
            </a:ext>
          </a:extLst>
        </xdr:cNvPr>
        <xdr:cNvSpPr/>
      </xdr:nvSpPr>
      <xdr:spPr>
        <a:xfrm rot="19497488">
          <a:off x="6330950" y="2593374"/>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7</xdr:col>
      <xdr:colOff>349250</xdr:colOff>
      <xdr:row>20</xdr:row>
      <xdr:rowOff>82550</xdr:rowOff>
    </xdr:from>
    <xdr:ext cx="9536971" cy="1595117"/>
    <xdr:sp macro="" textlink="">
      <xdr:nvSpPr>
        <xdr:cNvPr id="7" name="Rectangle 6">
          <a:extLst>
            <a:ext uri="{FF2B5EF4-FFF2-40B4-BE49-F238E27FC236}">
              <a16:creationId xmlns:a16="http://schemas.microsoft.com/office/drawing/2014/main" id="{0532BCDC-EC41-47D2-BB3C-2B040A684AE7}"/>
            </a:ext>
          </a:extLst>
        </xdr:cNvPr>
        <xdr:cNvSpPr/>
      </xdr:nvSpPr>
      <xdr:spPr>
        <a:xfrm rot="19497488">
          <a:off x="8401050" y="4254500"/>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twoCellAnchor>
    <xdr:from>
      <xdr:col>0</xdr:col>
      <xdr:colOff>585786</xdr:colOff>
      <xdr:row>39</xdr:row>
      <xdr:rowOff>147637</xdr:rowOff>
    </xdr:from>
    <xdr:to>
      <xdr:col>5</xdr:col>
      <xdr:colOff>89811</xdr:colOff>
      <xdr:row>54</xdr:row>
      <xdr:rowOff>26987</xdr:rowOff>
    </xdr:to>
    <xdr:graphicFrame macro="">
      <xdr:nvGraphicFramePr>
        <xdr:cNvPr id="2" name="Chart 1">
          <a:extLst>
            <a:ext uri="{FF2B5EF4-FFF2-40B4-BE49-F238E27FC236}">
              <a16:creationId xmlns:a16="http://schemas.microsoft.com/office/drawing/2014/main" id="{1AFD9B5E-0D0A-48AA-881E-8FF2BE6726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34924</xdr:colOff>
      <xdr:row>39</xdr:row>
      <xdr:rowOff>147637</xdr:rowOff>
    </xdr:from>
    <xdr:to>
      <xdr:col>12</xdr:col>
      <xdr:colOff>405724</xdr:colOff>
      <xdr:row>54</xdr:row>
      <xdr:rowOff>26987</xdr:rowOff>
    </xdr:to>
    <xdr:graphicFrame macro="">
      <xdr:nvGraphicFramePr>
        <xdr:cNvPr id="3" name="Chart 2">
          <a:extLst>
            <a:ext uri="{FF2B5EF4-FFF2-40B4-BE49-F238E27FC236}">
              <a16:creationId xmlns:a16="http://schemas.microsoft.com/office/drawing/2014/main" id="{879BEF85-0BF9-48CA-B64A-4DE5CDAFC2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107949</xdr:colOff>
      <xdr:row>55</xdr:row>
      <xdr:rowOff>58737</xdr:rowOff>
    </xdr:from>
    <xdr:to>
      <xdr:col>5</xdr:col>
      <xdr:colOff>221574</xdr:colOff>
      <xdr:row>69</xdr:row>
      <xdr:rowOff>128587</xdr:rowOff>
    </xdr:to>
    <xdr:graphicFrame macro="">
      <xdr:nvGraphicFramePr>
        <xdr:cNvPr id="4" name="Chart 3">
          <a:extLst>
            <a:ext uri="{FF2B5EF4-FFF2-40B4-BE49-F238E27FC236}">
              <a16:creationId xmlns:a16="http://schemas.microsoft.com/office/drawing/2014/main" id="{B1DC4166-B6CF-4D3B-A552-13F50F2479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34924</xdr:colOff>
      <xdr:row>55</xdr:row>
      <xdr:rowOff>150812</xdr:rowOff>
    </xdr:from>
    <xdr:to>
      <xdr:col>12</xdr:col>
      <xdr:colOff>405724</xdr:colOff>
      <xdr:row>70</xdr:row>
      <xdr:rowOff>30162</xdr:rowOff>
    </xdr:to>
    <xdr:graphicFrame macro="">
      <xdr:nvGraphicFramePr>
        <xdr:cNvPr id="5" name="Chart 4">
          <a:extLst>
            <a:ext uri="{FF2B5EF4-FFF2-40B4-BE49-F238E27FC236}">
              <a16:creationId xmlns:a16="http://schemas.microsoft.com/office/drawing/2014/main" id="{A9D4957E-13F6-463D-8718-5BB56FFAAA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5</xdr:col>
      <xdr:colOff>200026</xdr:colOff>
      <xdr:row>6</xdr:row>
      <xdr:rowOff>65321</xdr:rowOff>
    </xdr:from>
    <xdr:to>
      <xdr:col>11</xdr:col>
      <xdr:colOff>198006</xdr:colOff>
      <xdr:row>20</xdr:row>
      <xdr:rowOff>107950</xdr:rowOff>
    </xdr:to>
    <xdr:pic>
      <xdr:nvPicPr>
        <xdr:cNvPr id="6" name="Picture 5">
          <a:extLst>
            <a:ext uri="{FF2B5EF4-FFF2-40B4-BE49-F238E27FC236}">
              <a16:creationId xmlns:a16="http://schemas.microsoft.com/office/drawing/2014/main" id="{5843A8BF-BFDD-4D13-AC7A-E95AD354EDD0}"/>
            </a:ext>
          </a:extLst>
        </xdr:cNvPr>
        <xdr:cNvPicPr>
          <a:picLocks noChangeAspect="1"/>
        </xdr:cNvPicPr>
      </xdr:nvPicPr>
      <xdr:blipFill>
        <a:blip xmlns:r="http://schemas.openxmlformats.org/officeDocument/2006/relationships" r:embed="rId5"/>
        <a:stretch>
          <a:fillRect/>
        </a:stretch>
      </xdr:blipFill>
      <xdr:spPr>
        <a:xfrm>
          <a:off x="6689726" y="1233721"/>
          <a:ext cx="5027180" cy="304617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5</xdr:col>
      <xdr:colOff>615949</xdr:colOff>
      <xdr:row>17</xdr:row>
      <xdr:rowOff>107950</xdr:rowOff>
    </xdr:from>
    <xdr:ext cx="9536971" cy="1595117"/>
    <xdr:sp macro="" textlink="">
      <xdr:nvSpPr>
        <xdr:cNvPr id="7" name="Rectangle 6">
          <a:extLst>
            <a:ext uri="{FF2B5EF4-FFF2-40B4-BE49-F238E27FC236}">
              <a16:creationId xmlns:a16="http://schemas.microsoft.com/office/drawing/2014/main" id="{EA7F8542-2D05-4D42-AFF8-B9348506F10A}"/>
            </a:ext>
          </a:extLst>
        </xdr:cNvPr>
        <xdr:cNvSpPr/>
      </xdr:nvSpPr>
      <xdr:spPr>
        <a:xfrm rot="19497488">
          <a:off x="6794499" y="3594100"/>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twoCellAnchor>
    <xdr:from>
      <xdr:col>0</xdr:col>
      <xdr:colOff>585786</xdr:colOff>
      <xdr:row>32</xdr:row>
      <xdr:rowOff>147637</xdr:rowOff>
    </xdr:from>
    <xdr:to>
      <xdr:col>5</xdr:col>
      <xdr:colOff>89811</xdr:colOff>
      <xdr:row>47</xdr:row>
      <xdr:rowOff>26987</xdr:rowOff>
    </xdr:to>
    <xdr:graphicFrame macro="">
      <xdr:nvGraphicFramePr>
        <xdr:cNvPr id="2" name="Chart 1">
          <a:extLst>
            <a:ext uri="{FF2B5EF4-FFF2-40B4-BE49-F238E27FC236}">
              <a16:creationId xmlns:a16="http://schemas.microsoft.com/office/drawing/2014/main" id="{D320D9E8-6FD9-4C05-8212-03591E685E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34924</xdr:colOff>
      <xdr:row>32</xdr:row>
      <xdr:rowOff>147637</xdr:rowOff>
    </xdr:from>
    <xdr:to>
      <xdr:col>12</xdr:col>
      <xdr:colOff>405724</xdr:colOff>
      <xdr:row>47</xdr:row>
      <xdr:rowOff>26987</xdr:rowOff>
    </xdr:to>
    <xdr:graphicFrame macro="">
      <xdr:nvGraphicFramePr>
        <xdr:cNvPr id="3" name="Chart 2">
          <a:extLst>
            <a:ext uri="{FF2B5EF4-FFF2-40B4-BE49-F238E27FC236}">
              <a16:creationId xmlns:a16="http://schemas.microsoft.com/office/drawing/2014/main" id="{0F202305-40B9-4DE4-8A94-CEA82D951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107949</xdr:colOff>
      <xdr:row>48</xdr:row>
      <xdr:rowOff>58737</xdr:rowOff>
    </xdr:from>
    <xdr:to>
      <xdr:col>5</xdr:col>
      <xdr:colOff>221574</xdr:colOff>
      <xdr:row>62</xdr:row>
      <xdr:rowOff>128587</xdr:rowOff>
    </xdr:to>
    <xdr:graphicFrame macro="">
      <xdr:nvGraphicFramePr>
        <xdr:cNvPr id="4" name="Chart 3">
          <a:extLst>
            <a:ext uri="{FF2B5EF4-FFF2-40B4-BE49-F238E27FC236}">
              <a16:creationId xmlns:a16="http://schemas.microsoft.com/office/drawing/2014/main" id="{D4D176F4-4D7F-4FE0-8314-E38FD967FB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34924</xdr:colOff>
      <xdr:row>48</xdr:row>
      <xdr:rowOff>150812</xdr:rowOff>
    </xdr:from>
    <xdr:to>
      <xdr:col>12</xdr:col>
      <xdr:colOff>405724</xdr:colOff>
      <xdr:row>63</xdr:row>
      <xdr:rowOff>30162</xdr:rowOff>
    </xdr:to>
    <xdr:graphicFrame macro="">
      <xdr:nvGraphicFramePr>
        <xdr:cNvPr id="5" name="Chart 4">
          <a:extLst>
            <a:ext uri="{FF2B5EF4-FFF2-40B4-BE49-F238E27FC236}">
              <a16:creationId xmlns:a16="http://schemas.microsoft.com/office/drawing/2014/main" id="{1FDDC032-B76D-4941-AA22-DA4F54C69D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5</xdr:col>
      <xdr:colOff>123826</xdr:colOff>
      <xdr:row>7</xdr:row>
      <xdr:rowOff>217721</xdr:rowOff>
    </xdr:from>
    <xdr:to>
      <xdr:col>9</xdr:col>
      <xdr:colOff>669926</xdr:colOff>
      <xdr:row>19</xdr:row>
      <xdr:rowOff>104915</xdr:rowOff>
    </xdr:to>
    <xdr:pic>
      <xdr:nvPicPr>
        <xdr:cNvPr id="6" name="Picture 5">
          <a:extLst>
            <a:ext uri="{FF2B5EF4-FFF2-40B4-BE49-F238E27FC236}">
              <a16:creationId xmlns:a16="http://schemas.microsoft.com/office/drawing/2014/main" id="{C73FD2D2-C0E9-4255-99EB-95D965AD9862}"/>
            </a:ext>
          </a:extLst>
        </xdr:cNvPr>
        <xdr:cNvPicPr>
          <a:picLocks noChangeAspect="1"/>
        </xdr:cNvPicPr>
      </xdr:nvPicPr>
      <xdr:blipFill>
        <a:blip xmlns:r="http://schemas.openxmlformats.org/officeDocument/2006/relationships" r:embed="rId5"/>
        <a:stretch>
          <a:fillRect/>
        </a:stretch>
      </xdr:blipFill>
      <xdr:spPr>
        <a:xfrm>
          <a:off x="6019801" y="1608371"/>
          <a:ext cx="3736975" cy="242084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485774</xdr:colOff>
      <xdr:row>31</xdr:row>
      <xdr:rowOff>133350</xdr:rowOff>
    </xdr:from>
    <xdr:to>
      <xdr:col>18</xdr:col>
      <xdr:colOff>507549</xdr:colOff>
      <xdr:row>47</xdr:row>
      <xdr:rowOff>131175</xdr:rowOff>
    </xdr:to>
    <xdr:pic>
      <xdr:nvPicPr>
        <xdr:cNvPr id="13" name="Picture 12">
          <a:extLst>
            <a:ext uri="{FF2B5EF4-FFF2-40B4-BE49-F238E27FC236}">
              <a16:creationId xmlns:a16="http://schemas.microsoft.com/office/drawing/2014/main" id="{5C2D4298-142F-8179-C05A-4D9634A0B52D}"/>
            </a:ext>
          </a:extLst>
        </xdr:cNvPr>
        <xdr:cNvPicPr>
          <a:picLocks noChangeAspect="1"/>
        </xdr:cNvPicPr>
      </xdr:nvPicPr>
      <xdr:blipFill>
        <a:blip xmlns:r="http://schemas.openxmlformats.org/officeDocument/2006/relationships" r:embed="rId1"/>
        <a:stretch>
          <a:fillRect/>
        </a:stretch>
      </xdr:blipFill>
      <xdr:spPr>
        <a:xfrm>
          <a:off x="6086474" y="5514975"/>
          <a:ext cx="4441375" cy="2664825"/>
        </a:xfrm>
        <a:prstGeom prst="rect">
          <a:avLst/>
        </a:prstGeom>
      </xdr:spPr>
    </xdr:pic>
    <xdr:clientData/>
  </xdr:twoCellAnchor>
  <xdr:oneCellAnchor>
    <xdr:from>
      <xdr:col>1</xdr:col>
      <xdr:colOff>761999</xdr:colOff>
      <xdr:row>34</xdr:row>
      <xdr:rowOff>8923</xdr:rowOff>
    </xdr:from>
    <xdr:ext cx="9536971" cy="1595117"/>
    <xdr:sp macro="" textlink="">
      <xdr:nvSpPr>
        <xdr:cNvPr id="2" name="Rectangle 1">
          <a:extLst>
            <a:ext uri="{FF2B5EF4-FFF2-40B4-BE49-F238E27FC236}">
              <a16:creationId xmlns:a16="http://schemas.microsoft.com/office/drawing/2014/main" id="{5CBDE5D6-C1B3-42B2-ABB1-13A42D0DAAB5}"/>
            </a:ext>
          </a:extLst>
        </xdr:cNvPr>
        <xdr:cNvSpPr/>
      </xdr:nvSpPr>
      <xdr:spPr>
        <a:xfrm rot="19497488">
          <a:off x="2101849" y="5895373"/>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twoCellAnchor>
    <xdr:from>
      <xdr:col>0</xdr:col>
      <xdr:colOff>638175</xdr:colOff>
      <xdr:row>49</xdr:row>
      <xdr:rowOff>79375</xdr:rowOff>
    </xdr:from>
    <xdr:to>
      <xdr:col>4</xdr:col>
      <xdr:colOff>250825</xdr:colOff>
      <xdr:row>66</xdr:row>
      <xdr:rowOff>123825</xdr:rowOff>
    </xdr:to>
    <xdr:graphicFrame macro="">
      <xdr:nvGraphicFramePr>
        <xdr:cNvPr id="3" name="Chart 2">
          <a:extLst>
            <a:ext uri="{FF2B5EF4-FFF2-40B4-BE49-F238E27FC236}">
              <a16:creationId xmlns:a16="http://schemas.microsoft.com/office/drawing/2014/main" id="{3BE7EB6D-4DB5-69B2-B161-092E3AFF31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746125</xdr:colOff>
      <xdr:row>49</xdr:row>
      <xdr:rowOff>104775</xdr:rowOff>
    </xdr:from>
    <xdr:to>
      <xdr:col>17</xdr:col>
      <xdr:colOff>479425</xdr:colOff>
      <xdr:row>66</xdr:row>
      <xdr:rowOff>149225</xdr:rowOff>
    </xdr:to>
    <xdr:graphicFrame macro="">
      <xdr:nvGraphicFramePr>
        <xdr:cNvPr id="5" name="Chart 4">
          <a:extLst>
            <a:ext uri="{FF2B5EF4-FFF2-40B4-BE49-F238E27FC236}">
              <a16:creationId xmlns:a16="http://schemas.microsoft.com/office/drawing/2014/main" id="{1104D9D7-86E5-15E3-B1DA-61A611E8A1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371475</xdr:colOff>
      <xdr:row>8</xdr:row>
      <xdr:rowOff>0</xdr:rowOff>
    </xdr:from>
    <xdr:to>
      <xdr:col>12</xdr:col>
      <xdr:colOff>18536</xdr:colOff>
      <xdr:row>18</xdr:row>
      <xdr:rowOff>129904</xdr:rowOff>
    </xdr:to>
    <xdr:pic>
      <xdr:nvPicPr>
        <xdr:cNvPr id="2" name="Picture 1">
          <a:extLst>
            <a:ext uri="{FF2B5EF4-FFF2-40B4-BE49-F238E27FC236}">
              <a16:creationId xmlns:a16="http://schemas.microsoft.com/office/drawing/2014/main" id="{0338A584-95E3-4D88-9281-F606618FB815}"/>
            </a:ext>
          </a:extLst>
        </xdr:cNvPr>
        <xdr:cNvPicPr>
          <a:picLocks noChangeAspect="1"/>
        </xdr:cNvPicPr>
      </xdr:nvPicPr>
      <xdr:blipFill>
        <a:blip xmlns:r="http://schemas.openxmlformats.org/officeDocument/2006/relationships" r:embed="rId1"/>
        <a:stretch>
          <a:fillRect/>
        </a:stretch>
      </xdr:blipFill>
      <xdr:spPr>
        <a:xfrm>
          <a:off x="7000875" y="1609725"/>
          <a:ext cx="3952361" cy="2225404"/>
        </a:xfrm>
        <a:prstGeom prst="rect">
          <a:avLst/>
        </a:prstGeom>
      </xdr:spPr>
    </xdr:pic>
    <xdr:clientData/>
  </xdr:twoCellAnchor>
  <xdr:twoCellAnchor>
    <xdr:from>
      <xdr:col>1</xdr:col>
      <xdr:colOff>1228725</xdr:colOff>
      <xdr:row>38</xdr:row>
      <xdr:rowOff>19050</xdr:rowOff>
    </xdr:from>
    <xdr:to>
      <xdr:col>5</xdr:col>
      <xdr:colOff>403225</xdr:colOff>
      <xdr:row>53</xdr:row>
      <xdr:rowOff>0</xdr:rowOff>
    </xdr:to>
    <xdr:graphicFrame macro="">
      <xdr:nvGraphicFramePr>
        <xdr:cNvPr id="3" name="Chart 2">
          <a:extLst>
            <a:ext uri="{FF2B5EF4-FFF2-40B4-BE49-F238E27FC236}">
              <a16:creationId xmlns:a16="http://schemas.microsoft.com/office/drawing/2014/main" id="{B07344DB-4464-4FA5-9A4E-EE972D330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111125</xdr:colOff>
      <xdr:row>38</xdr:row>
      <xdr:rowOff>38100</xdr:rowOff>
    </xdr:from>
    <xdr:to>
      <xdr:col>11</xdr:col>
      <xdr:colOff>111125</xdr:colOff>
      <xdr:row>53</xdr:row>
      <xdr:rowOff>19050</xdr:rowOff>
    </xdr:to>
    <xdr:graphicFrame macro="">
      <xdr:nvGraphicFramePr>
        <xdr:cNvPr id="4" name="Chart 3">
          <a:extLst>
            <a:ext uri="{FF2B5EF4-FFF2-40B4-BE49-F238E27FC236}">
              <a16:creationId xmlns:a16="http://schemas.microsoft.com/office/drawing/2014/main" id="{FFF4F772-2B1B-4E62-BAB0-283A90536E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638175</xdr:colOff>
      <xdr:row>38</xdr:row>
      <xdr:rowOff>12700</xdr:rowOff>
    </xdr:from>
    <xdr:to>
      <xdr:col>16</xdr:col>
      <xdr:colOff>631825</xdr:colOff>
      <xdr:row>52</xdr:row>
      <xdr:rowOff>177800</xdr:rowOff>
    </xdr:to>
    <xdr:graphicFrame macro="">
      <xdr:nvGraphicFramePr>
        <xdr:cNvPr id="5" name="Chart 4">
          <a:extLst>
            <a:ext uri="{FF2B5EF4-FFF2-40B4-BE49-F238E27FC236}">
              <a16:creationId xmlns:a16="http://schemas.microsoft.com/office/drawing/2014/main" id="{C32C7D19-15CB-46D4-A146-9940C90195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1</xdr:col>
      <xdr:colOff>603251</xdr:colOff>
      <xdr:row>12</xdr:row>
      <xdr:rowOff>212122</xdr:rowOff>
    </xdr:from>
    <xdr:ext cx="9536971" cy="1595117"/>
    <xdr:sp macro="" textlink="">
      <xdr:nvSpPr>
        <xdr:cNvPr id="6" name="Rectangle 5">
          <a:extLst>
            <a:ext uri="{FF2B5EF4-FFF2-40B4-BE49-F238E27FC236}">
              <a16:creationId xmlns:a16="http://schemas.microsoft.com/office/drawing/2014/main" id="{B76CDBDD-84AA-40A1-832C-6C3BBD72D9EB}"/>
            </a:ext>
          </a:extLst>
        </xdr:cNvPr>
        <xdr:cNvSpPr/>
      </xdr:nvSpPr>
      <xdr:spPr>
        <a:xfrm rot="19497488">
          <a:off x="1244601" y="2682272"/>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565150</xdr:colOff>
      <xdr:row>20</xdr:row>
      <xdr:rowOff>127000</xdr:rowOff>
    </xdr:from>
    <xdr:to>
      <xdr:col>3</xdr:col>
      <xdr:colOff>584200</xdr:colOff>
      <xdr:row>36</xdr:row>
      <xdr:rowOff>60600</xdr:rowOff>
    </xdr:to>
    <xdr:graphicFrame macro="">
      <xdr:nvGraphicFramePr>
        <xdr:cNvPr id="2" name="Chart 1">
          <a:extLst>
            <a:ext uri="{FF2B5EF4-FFF2-40B4-BE49-F238E27FC236}">
              <a16:creationId xmlns:a16="http://schemas.microsoft.com/office/drawing/2014/main" id="{B4A3BC32-2B3F-4B58-89E7-D3CD4E1DD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234950</xdr:colOff>
      <xdr:row>20</xdr:row>
      <xdr:rowOff>82550</xdr:rowOff>
    </xdr:from>
    <xdr:to>
      <xdr:col>8</xdr:col>
      <xdr:colOff>482600</xdr:colOff>
      <xdr:row>36</xdr:row>
      <xdr:rowOff>16150</xdr:rowOff>
    </xdr:to>
    <xdr:graphicFrame macro="">
      <xdr:nvGraphicFramePr>
        <xdr:cNvPr id="3" name="Chart 2">
          <a:extLst>
            <a:ext uri="{FF2B5EF4-FFF2-40B4-BE49-F238E27FC236}">
              <a16:creationId xmlns:a16="http://schemas.microsoft.com/office/drawing/2014/main" id="{74480DE0-10C5-43FF-AB9A-21A23DE2CF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2</xdr:col>
      <xdr:colOff>609599</xdr:colOff>
      <xdr:row>18</xdr:row>
      <xdr:rowOff>6350</xdr:rowOff>
    </xdr:from>
    <xdr:ext cx="9536971" cy="1595117"/>
    <xdr:sp macro="" textlink="">
      <xdr:nvSpPr>
        <xdr:cNvPr id="4" name="Rectangle 3">
          <a:extLst>
            <a:ext uri="{FF2B5EF4-FFF2-40B4-BE49-F238E27FC236}">
              <a16:creationId xmlns:a16="http://schemas.microsoft.com/office/drawing/2014/main" id="{5E7ADC0C-33CD-41B3-ACEF-58A0779DD616}"/>
            </a:ext>
          </a:extLst>
        </xdr:cNvPr>
        <xdr:cNvSpPr/>
      </xdr:nvSpPr>
      <xdr:spPr>
        <a:xfrm rot="19497488">
          <a:off x="2285999" y="3352800"/>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xdr:col>
      <xdr:colOff>374650</xdr:colOff>
      <xdr:row>11</xdr:row>
      <xdr:rowOff>44450</xdr:rowOff>
    </xdr:from>
    <xdr:to>
      <xdr:col>9</xdr:col>
      <xdr:colOff>171450</xdr:colOff>
      <xdr:row>28</xdr:row>
      <xdr:rowOff>88900</xdr:rowOff>
    </xdr:to>
    <xdr:graphicFrame macro="">
      <xdr:nvGraphicFramePr>
        <xdr:cNvPr id="2" name="Chart 1">
          <a:extLst>
            <a:ext uri="{FF2B5EF4-FFF2-40B4-BE49-F238E27FC236}">
              <a16:creationId xmlns:a16="http://schemas.microsoft.com/office/drawing/2014/main" id="{D63897A0-5E16-4F23-8EEE-8CB1D6E57A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406401</xdr:colOff>
      <xdr:row>24</xdr:row>
      <xdr:rowOff>123223</xdr:rowOff>
    </xdr:from>
    <xdr:ext cx="9536971" cy="1595117"/>
    <xdr:sp macro="" textlink="">
      <xdr:nvSpPr>
        <xdr:cNvPr id="3" name="Rectangle 2">
          <a:extLst>
            <a:ext uri="{FF2B5EF4-FFF2-40B4-BE49-F238E27FC236}">
              <a16:creationId xmlns:a16="http://schemas.microsoft.com/office/drawing/2014/main" id="{FA213D4F-91CB-4DEF-9566-FB153EEC0D37}"/>
            </a:ext>
          </a:extLst>
        </xdr:cNvPr>
        <xdr:cNvSpPr/>
      </xdr:nvSpPr>
      <xdr:spPr>
        <a:xfrm rot="19497488">
          <a:off x="406401" y="3984023"/>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2</xdr:col>
      <xdr:colOff>133350</xdr:colOff>
      <xdr:row>49</xdr:row>
      <xdr:rowOff>31750</xdr:rowOff>
    </xdr:from>
    <xdr:to>
      <xdr:col>4</xdr:col>
      <xdr:colOff>1609725</xdr:colOff>
      <xdr:row>66</xdr:row>
      <xdr:rowOff>104775</xdr:rowOff>
    </xdr:to>
    <xdr:graphicFrame macro="">
      <xdr:nvGraphicFramePr>
        <xdr:cNvPr id="2" name="Chart 1">
          <a:extLst>
            <a:ext uri="{FF2B5EF4-FFF2-40B4-BE49-F238E27FC236}">
              <a16:creationId xmlns:a16="http://schemas.microsoft.com/office/drawing/2014/main" id="{0A9872B8-BB80-4EEE-955A-9735CCF606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1047750</xdr:colOff>
      <xdr:row>44</xdr:row>
      <xdr:rowOff>104775</xdr:rowOff>
    </xdr:from>
    <xdr:to>
      <xdr:col>7</xdr:col>
      <xdr:colOff>323850</xdr:colOff>
      <xdr:row>61</xdr:row>
      <xdr:rowOff>95250</xdr:rowOff>
    </xdr:to>
    <xdr:graphicFrame macro="">
      <xdr:nvGraphicFramePr>
        <xdr:cNvPr id="2" name="Chart 1">
          <a:extLst>
            <a:ext uri="{FF2B5EF4-FFF2-40B4-BE49-F238E27FC236}">
              <a16:creationId xmlns:a16="http://schemas.microsoft.com/office/drawing/2014/main" id="{AF3DECD8-B594-495E-B946-B009157BDC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117475</xdr:colOff>
      <xdr:row>30</xdr:row>
      <xdr:rowOff>136525</xdr:rowOff>
    </xdr:from>
    <xdr:to>
      <xdr:col>10</xdr:col>
      <xdr:colOff>1022350</xdr:colOff>
      <xdr:row>46</xdr:row>
      <xdr:rowOff>15875</xdr:rowOff>
    </xdr:to>
    <xdr:graphicFrame macro="">
      <xdr:nvGraphicFramePr>
        <xdr:cNvPr id="2" name="Chart 1">
          <a:extLst>
            <a:ext uri="{FF2B5EF4-FFF2-40B4-BE49-F238E27FC236}">
              <a16:creationId xmlns:a16="http://schemas.microsoft.com/office/drawing/2014/main" id="{CB2313D2-2FEB-460C-949A-53B3C879F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1127125</xdr:colOff>
      <xdr:row>30</xdr:row>
      <xdr:rowOff>123825</xdr:rowOff>
    </xdr:from>
    <xdr:to>
      <xdr:col>14</xdr:col>
      <xdr:colOff>31750</xdr:colOff>
      <xdr:row>46</xdr:row>
      <xdr:rowOff>3175</xdr:rowOff>
    </xdr:to>
    <xdr:graphicFrame macro="">
      <xdr:nvGraphicFramePr>
        <xdr:cNvPr id="3" name="Chart 2">
          <a:extLst>
            <a:ext uri="{FF2B5EF4-FFF2-40B4-BE49-F238E27FC236}">
              <a16:creationId xmlns:a16="http://schemas.microsoft.com/office/drawing/2014/main" id="{F5D23C47-05B1-440A-B6AD-9B3E031549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1165225</xdr:colOff>
      <xdr:row>46</xdr:row>
      <xdr:rowOff>66675</xdr:rowOff>
    </xdr:from>
    <xdr:to>
      <xdr:col>14</xdr:col>
      <xdr:colOff>69850</xdr:colOff>
      <xdr:row>63</xdr:row>
      <xdr:rowOff>79375</xdr:rowOff>
    </xdr:to>
    <xdr:graphicFrame macro="">
      <xdr:nvGraphicFramePr>
        <xdr:cNvPr id="4" name="Chart 3">
          <a:extLst>
            <a:ext uri="{FF2B5EF4-FFF2-40B4-BE49-F238E27FC236}">
              <a16:creationId xmlns:a16="http://schemas.microsoft.com/office/drawing/2014/main" id="{B3C99166-56A5-4488-817E-81E99A6A53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828675</xdr:colOff>
      <xdr:row>69</xdr:row>
      <xdr:rowOff>76200</xdr:rowOff>
    </xdr:from>
    <xdr:to>
      <xdr:col>6</xdr:col>
      <xdr:colOff>536575</xdr:colOff>
      <xdr:row>86</xdr:row>
      <xdr:rowOff>120650</xdr:rowOff>
    </xdr:to>
    <xdr:graphicFrame macro="">
      <xdr:nvGraphicFramePr>
        <xdr:cNvPr id="2" name="Chart 1">
          <a:extLst>
            <a:ext uri="{FF2B5EF4-FFF2-40B4-BE49-F238E27FC236}">
              <a16:creationId xmlns:a16="http://schemas.microsoft.com/office/drawing/2014/main" id="{BE6AC2C5-C5CF-4B70-8C85-25616667C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3</xdr:col>
      <xdr:colOff>127001</xdr:colOff>
      <xdr:row>20</xdr:row>
      <xdr:rowOff>101600</xdr:rowOff>
    </xdr:from>
    <xdr:ext cx="9536971" cy="1595117"/>
    <xdr:sp macro="" textlink="">
      <xdr:nvSpPr>
        <xdr:cNvPr id="3" name="Rectangle 2">
          <a:extLst>
            <a:ext uri="{FF2B5EF4-FFF2-40B4-BE49-F238E27FC236}">
              <a16:creationId xmlns:a16="http://schemas.microsoft.com/office/drawing/2014/main" id="{4A0BFB2F-409A-491D-8C6C-3C40E2600EB6}"/>
            </a:ext>
          </a:extLst>
        </xdr:cNvPr>
        <xdr:cNvSpPr/>
      </xdr:nvSpPr>
      <xdr:spPr>
        <a:xfrm rot="19497488">
          <a:off x="5715001" y="3505200"/>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1416050</xdr:colOff>
      <xdr:row>42</xdr:row>
      <xdr:rowOff>50797</xdr:rowOff>
    </xdr:from>
    <xdr:ext cx="9536971" cy="1595117"/>
    <xdr:sp macro="" textlink="">
      <xdr:nvSpPr>
        <xdr:cNvPr id="3" name="Rectangle 2">
          <a:extLst>
            <a:ext uri="{FF2B5EF4-FFF2-40B4-BE49-F238E27FC236}">
              <a16:creationId xmlns:a16="http://schemas.microsoft.com/office/drawing/2014/main" id="{7C0E1601-640B-4621-8A13-3B2BBF24EA81}"/>
            </a:ext>
          </a:extLst>
        </xdr:cNvPr>
        <xdr:cNvSpPr/>
      </xdr:nvSpPr>
      <xdr:spPr>
        <a:xfrm rot="19497488">
          <a:off x="4978400" y="7048497"/>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twoCellAnchor>
    <xdr:from>
      <xdr:col>2</xdr:col>
      <xdr:colOff>1489075</xdr:colOff>
      <xdr:row>64</xdr:row>
      <xdr:rowOff>82550</xdr:rowOff>
    </xdr:from>
    <xdr:to>
      <xdr:col>6</xdr:col>
      <xdr:colOff>1196975</xdr:colOff>
      <xdr:row>81</xdr:row>
      <xdr:rowOff>127000</xdr:rowOff>
    </xdr:to>
    <xdr:graphicFrame macro="">
      <xdr:nvGraphicFramePr>
        <xdr:cNvPr id="2" name="Chart 1">
          <a:extLst>
            <a:ext uri="{FF2B5EF4-FFF2-40B4-BE49-F238E27FC236}">
              <a16:creationId xmlns:a16="http://schemas.microsoft.com/office/drawing/2014/main" id="{8E7FF139-77F4-4BD9-84B3-B4B80A304E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xdr:col>
      <xdr:colOff>758825</xdr:colOff>
      <xdr:row>52</xdr:row>
      <xdr:rowOff>69850</xdr:rowOff>
    </xdr:from>
    <xdr:to>
      <xdr:col>6</xdr:col>
      <xdr:colOff>466725</xdr:colOff>
      <xdr:row>69</xdr:row>
      <xdr:rowOff>114300</xdr:rowOff>
    </xdr:to>
    <xdr:graphicFrame macro="">
      <xdr:nvGraphicFramePr>
        <xdr:cNvPr id="2" name="Chart 1">
          <a:extLst>
            <a:ext uri="{FF2B5EF4-FFF2-40B4-BE49-F238E27FC236}">
              <a16:creationId xmlns:a16="http://schemas.microsoft.com/office/drawing/2014/main" id="{B1276874-6A64-43F6-816F-DF836F655C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xdr:col>
      <xdr:colOff>1327151</xdr:colOff>
      <xdr:row>24</xdr:row>
      <xdr:rowOff>47025</xdr:rowOff>
    </xdr:from>
    <xdr:ext cx="9536971" cy="1595117"/>
    <xdr:sp macro="" textlink="">
      <xdr:nvSpPr>
        <xdr:cNvPr id="3" name="Rectangle 2">
          <a:extLst>
            <a:ext uri="{FF2B5EF4-FFF2-40B4-BE49-F238E27FC236}">
              <a16:creationId xmlns:a16="http://schemas.microsoft.com/office/drawing/2014/main" id="{DAC43A48-CA20-4E79-BAE6-11FBF49F635B}"/>
            </a:ext>
          </a:extLst>
        </xdr:cNvPr>
        <xdr:cNvSpPr/>
      </xdr:nvSpPr>
      <xdr:spPr>
        <a:xfrm rot="19497488">
          <a:off x="4851401" y="4047525"/>
          <a:ext cx="9536971" cy="1595117"/>
        </a:xfrm>
        <a:prstGeom prst="rect">
          <a:avLst/>
        </a:prstGeom>
        <a:noFill/>
      </xdr:spPr>
      <xdr:txBody>
        <a:bodyPr wrap="none" lIns="91440" tIns="45720" rIns="91440" bIns="45720">
          <a:spAutoFit/>
        </a:bodyPr>
        <a:lstStyle/>
        <a:p>
          <a:pPr algn="ctr"/>
          <a:r>
            <a:rPr lang="en-US" sz="9600" b="1" cap="none" spc="0">
              <a:ln w="10160">
                <a:solidFill>
                  <a:schemeClr val="accent5"/>
                </a:solidFill>
                <a:prstDash val="solid"/>
              </a:ln>
              <a:solidFill>
                <a:srgbClr val="FFFFFF">
                  <a:alpha val="0"/>
                </a:srgbClr>
              </a:solidFill>
              <a:effectLst>
                <a:outerShdw blurRad="38100" dist="22860" dir="5400000" algn="tl" rotWithShape="0">
                  <a:srgbClr val="000000">
                    <a:alpha val="30000"/>
                  </a:srgbClr>
                </a:outerShdw>
              </a:effectLst>
            </a:rPr>
            <a:t>www.agrotekno.fi</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Y\Agtek_kurssit\agtek310_peltoperus\Maa\Muokkaus\sohnen%20ter&#228;voim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Y/Agtek_kurssit/agtek310_peltoperus/Maa/Muokkaus/muokkauslasku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räkulma"/>
      <sheetName val="Maalaji"/>
      <sheetName val="Sheet1"/>
      <sheetName val="Kivipuimuri"/>
    </sheetNames>
    <sheetDataSet>
      <sheetData sheetId="0">
        <row r="13">
          <cell r="D13">
            <v>0.43633231299858238</v>
          </cell>
        </row>
        <row r="15">
          <cell r="D15">
            <v>0.36</v>
          </cell>
        </row>
        <row r="20">
          <cell r="D20">
            <v>0.56723200689815712</v>
          </cell>
        </row>
      </sheetData>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ue"/>
      <sheetName val="ASAE"/>
      <sheetName val="Energia"/>
      <sheetName val="Kannas"/>
      <sheetName val="Kannas (2)"/>
      <sheetName val="Kivipuimuri"/>
      <sheetName val="Leveä terä"/>
      <sheetName val="Levy"/>
      <sheetName val="Maalaji"/>
      <sheetName val="Peralevy"/>
      <sheetName val="Sohne"/>
      <sheetName val="Sohne2"/>
      <sheetName val="Söhne"/>
      <sheetName val="Syvyys"/>
      <sheetName val="Teräkulma"/>
      <sheetName val="Teräväli"/>
      <sheetName val="Terävoima"/>
      <sheetName val="Vali"/>
    </sheetNames>
    <sheetDataSet>
      <sheetData sheetId="0"/>
      <sheetData sheetId="1"/>
      <sheetData sheetId="2"/>
      <sheetData sheetId="3"/>
      <sheetData sheetId="4"/>
      <sheetData sheetId="5"/>
      <sheetData sheetId="6">
        <row r="26">
          <cell r="C26">
            <v>0.25598162362583499</v>
          </cell>
        </row>
        <row r="29">
          <cell r="C29">
            <v>0.60263203651817421</v>
          </cell>
        </row>
      </sheetData>
      <sheetData sheetId="7"/>
      <sheetData sheetId="8"/>
      <sheetData sheetId="9"/>
      <sheetData sheetId="10"/>
      <sheetData sheetId="11"/>
      <sheetData sheetId="12">
        <row r="12">
          <cell r="D12">
            <v>0.3490658503988659</v>
          </cell>
        </row>
        <row r="15">
          <cell r="D15">
            <v>0.6108652381980153</v>
          </cell>
        </row>
        <row r="22">
          <cell r="D22">
            <v>0.47996554429844063</v>
          </cell>
        </row>
      </sheetData>
      <sheetData sheetId="13"/>
      <sheetData sheetId="14"/>
      <sheetData sheetId="15"/>
      <sheetData sheetId="16">
        <row r="5">
          <cell r="D5">
            <v>2</v>
          </cell>
        </row>
        <row r="6">
          <cell r="D6">
            <v>8</v>
          </cell>
        </row>
        <row r="10">
          <cell r="D10">
            <v>1800</v>
          </cell>
        </row>
        <row r="13">
          <cell r="D13">
            <v>20</v>
          </cell>
        </row>
        <row r="14">
          <cell r="D14">
            <v>0</v>
          </cell>
        </row>
        <row r="16">
          <cell r="D16">
            <v>5</v>
          </cell>
        </row>
        <row r="22">
          <cell r="D22">
            <v>1.5173116678328278</v>
          </cell>
        </row>
        <row r="23">
          <cell r="D23">
            <v>1.1016339473089758</v>
          </cell>
        </row>
        <row r="24">
          <cell r="D24">
            <v>3.3198168368638616</v>
          </cell>
        </row>
        <row r="25">
          <cell r="D25">
            <v>3.0346233356656556</v>
          </cell>
        </row>
        <row r="31">
          <cell r="D31">
            <v>11847.667460523118</v>
          </cell>
        </row>
      </sheetData>
      <sheetData sheetId="1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jukka.ahokas@agrotekno.fi"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55230-D24B-48A3-BFB2-6F70ADF24C74}">
  <sheetPr codeName="Sheet14">
    <tabColor theme="0"/>
  </sheetPr>
  <dimension ref="B5:T22"/>
  <sheetViews>
    <sheetView tabSelected="1" workbookViewId="0">
      <selection activeCell="P29" sqref="P29"/>
    </sheetView>
  </sheetViews>
  <sheetFormatPr defaultRowHeight="12.5" x14ac:dyDescent="0.25"/>
  <sheetData>
    <row r="5" spans="2:20" ht="18.5" x14ac:dyDescent="0.25">
      <c r="B5" s="233" t="s">
        <v>431</v>
      </c>
      <c r="C5" s="234"/>
      <c r="D5" s="234"/>
      <c r="E5" s="234"/>
      <c r="F5" s="234"/>
      <c r="G5" s="234"/>
      <c r="H5" s="234"/>
      <c r="I5" s="234"/>
      <c r="J5" s="234"/>
      <c r="K5" s="234"/>
      <c r="L5" s="234"/>
      <c r="M5" s="234"/>
      <c r="N5" s="234"/>
      <c r="O5" s="234"/>
    </row>
    <row r="6" spans="2:20" ht="12.75" customHeight="1" x14ac:dyDescent="0.25">
      <c r="B6" s="235" t="s">
        <v>432</v>
      </c>
      <c r="C6" s="235"/>
      <c r="D6" s="235"/>
      <c r="E6" s="235"/>
      <c r="F6" s="235"/>
      <c r="G6" s="235"/>
      <c r="H6" s="235"/>
      <c r="I6" s="235"/>
      <c r="J6" s="235"/>
      <c r="K6" s="235"/>
      <c r="L6" s="235"/>
      <c r="M6" s="235"/>
      <c r="N6" s="235"/>
      <c r="O6" s="235"/>
      <c r="P6" s="235"/>
      <c r="Q6" s="235"/>
      <c r="R6" s="235"/>
      <c r="S6" s="235"/>
      <c r="T6" s="235"/>
    </row>
    <row r="7" spans="2:20" ht="12.75" customHeight="1" x14ac:dyDescent="0.25">
      <c r="B7" s="235"/>
      <c r="C7" s="235"/>
      <c r="D7" s="235"/>
      <c r="E7" s="235"/>
      <c r="F7" s="235"/>
      <c r="G7" s="235"/>
      <c r="H7" s="235"/>
      <c r="I7" s="235"/>
      <c r="J7" s="235"/>
      <c r="K7" s="235"/>
      <c r="L7" s="235"/>
      <c r="M7" s="235"/>
      <c r="N7" s="235"/>
      <c r="O7" s="235"/>
      <c r="P7" s="235"/>
      <c r="Q7" s="235"/>
      <c r="R7" s="235"/>
      <c r="S7" s="235"/>
      <c r="T7" s="235"/>
    </row>
    <row r="8" spans="2:20" ht="12.75" customHeight="1" x14ac:dyDescent="0.25">
      <c r="B8" s="235"/>
      <c r="C8" s="235"/>
      <c r="D8" s="235"/>
      <c r="E8" s="235"/>
      <c r="F8" s="235"/>
      <c r="G8" s="235"/>
      <c r="H8" s="235"/>
      <c r="I8" s="235"/>
      <c r="J8" s="235"/>
      <c r="K8" s="235"/>
      <c r="L8" s="235"/>
      <c r="M8" s="235"/>
      <c r="N8" s="235"/>
      <c r="O8" s="235"/>
      <c r="P8" s="235"/>
      <c r="Q8" s="235"/>
      <c r="R8" s="235"/>
      <c r="S8" s="235"/>
      <c r="T8" s="235"/>
    </row>
    <row r="9" spans="2:20" ht="12.75" customHeight="1" x14ac:dyDescent="0.25">
      <c r="B9" s="235"/>
      <c r="C9" s="235"/>
      <c r="D9" s="235"/>
      <c r="E9" s="235"/>
      <c r="F9" s="235"/>
      <c r="G9" s="235"/>
      <c r="H9" s="235"/>
      <c r="I9" s="235"/>
      <c r="J9" s="235"/>
      <c r="K9" s="235"/>
      <c r="L9" s="235"/>
      <c r="M9" s="235"/>
      <c r="N9" s="235"/>
      <c r="O9" s="235"/>
      <c r="P9" s="235"/>
      <c r="Q9" s="235"/>
      <c r="R9" s="235"/>
      <c r="S9" s="235"/>
      <c r="T9" s="235"/>
    </row>
    <row r="10" spans="2:20" ht="12.75" customHeight="1" x14ac:dyDescent="0.35">
      <c r="B10" s="236"/>
      <c r="C10" s="234"/>
      <c r="D10" s="234"/>
      <c r="E10" s="234"/>
      <c r="F10" s="234"/>
      <c r="G10" s="234"/>
      <c r="H10" s="234"/>
      <c r="I10" s="234"/>
      <c r="J10" s="234"/>
      <c r="K10" s="234"/>
      <c r="L10" s="234"/>
      <c r="M10" s="234"/>
      <c r="N10" s="234"/>
      <c r="O10" s="234"/>
    </row>
    <row r="11" spans="2:20" ht="12.75" customHeight="1" x14ac:dyDescent="0.25">
      <c r="B11" s="237" t="s">
        <v>433</v>
      </c>
      <c r="C11" s="234"/>
      <c r="D11" s="234"/>
      <c r="E11" s="234"/>
      <c r="F11" s="234"/>
      <c r="G11" s="234"/>
      <c r="H11" s="234"/>
      <c r="I11" s="234"/>
      <c r="J11" s="234"/>
      <c r="K11" s="234"/>
      <c r="L11" s="234"/>
      <c r="M11" s="234"/>
      <c r="N11" s="234"/>
      <c r="O11" s="234"/>
    </row>
    <row r="12" spans="2:20" ht="12.75" customHeight="1" x14ac:dyDescent="0.25">
      <c r="B12" s="237" t="s">
        <v>434</v>
      </c>
      <c r="C12" s="234"/>
      <c r="D12" s="234"/>
      <c r="E12" s="234"/>
      <c r="F12" s="234"/>
      <c r="G12" s="234"/>
      <c r="H12" s="234"/>
      <c r="I12" s="234"/>
      <c r="J12" s="234"/>
      <c r="K12" s="234"/>
      <c r="L12" s="234"/>
      <c r="M12" s="234"/>
      <c r="N12" s="234"/>
      <c r="O12" s="234"/>
    </row>
    <row r="13" spans="2:20" ht="12.75" customHeight="1" x14ac:dyDescent="0.25">
      <c r="B13" s="237" t="s">
        <v>435</v>
      </c>
      <c r="C13" s="234"/>
      <c r="D13" s="234"/>
      <c r="E13" s="234"/>
      <c r="F13" s="234"/>
      <c r="G13" s="234"/>
      <c r="H13" s="234"/>
      <c r="I13" s="234"/>
      <c r="J13" s="234"/>
      <c r="K13" s="234"/>
      <c r="L13" s="234"/>
      <c r="M13" s="234"/>
      <c r="N13" s="234"/>
      <c r="O13" s="234"/>
    </row>
    <row r="14" spans="2:20" ht="12.75" customHeight="1" x14ac:dyDescent="0.25">
      <c r="B14" s="237" t="s">
        <v>436</v>
      </c>
      <c r="C14" s="234"/>
      <c r="D14" s="234"/>
      <c r="E14" s="234"/>
      <c r="F14" s="234"/>
      <c r="G14" s="234"/>
      <c r="H14" s="234"/>
      <c r="I14" s="234"/>
      <c r="J14" s="234"/>
      <c r="K14" s="234"/>
      <c r="L14" s="234"/>
      <c r="M14" s="234"/>
      <c r="N14" s="234"/>
      <c r="O14" s="234"/>
    </row>
    <row r="15" spans="2:20" ht="12.75" customHeight="1" x14ac:dyDescent="0.25">
      <c r="B15" s="237" t="s">
        <v>437</v>
      </c>
      <c r="C15" s="234"/>
      <c r="D15" s="234"/>
      <c r="E15" s="234"/>
      <c r="F15" s="234"/>
      <c r="G15" s="234"/>
      <c r="H15" s="234"/>
      <c r="I15" s="234"/>
      <c r="J15" s="234"/>
      <c r="K15" s="234"/>
      <c r="L15" s="234"/>
      <c r="M15" s="234"/>
      <c r="N15" s="234"/>
      <c r="O15" s="234"/>
    </row>
    <row r="16" spans="2:20" ht="14.5" x14ac:dyDescent="0.25">
      <c r="B16" s="237" t="s">
        <v>438</v>
      </c>
    </row>
    <row r="17" spans="2:3" ht="14.5" x14ac:dyDescent="0.25">
      <c r="B17" s="237" t="s">
        <v>439</v>
      </c>
    </row>
    <row r="20" spans="2:3" ht="14.5" x14ac:dyDescent="0.35">
      <c r="B20" s="58"/>
      <c r="C20" t="s">
        <v>440</v>
      </c>
    </row>
    <row r="22" spans="2:3" x14ac:dyDescent="0.25">
      <c r="B22" s="238" t="s">
        <v>441</v>
      </c>
    </row>
  </sheetData>
  <sheetProtection algorithmName="SHA-512" hashValue="tolw+a1v2z18CglET3c6ji/Jx13JkszOvxi014/+Y/PGAgqIJ8e1ZeY72nuBhu0ESYQWbkSOMWY52zSStn4JWA==" saltValue="c9ix3FRGHpp28aNIsZlNZw==" spinCount="100000" sheet="1" objects="1" scenarios="1"/>
  <mergeCells count="1">
    <mergeCell ref="B6:T9"/>
  </mergeCells>
  <hyperlinks>
    <hyperlink ref="B22" r:id="rId1" xr:uid="{56D1A21F-E17E-428A-9219-9065FCF51B28}"/>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8034A-2798-4C50-BBAB-95766EF4F70D}">
  <sheetPr codeName="Sheet10"/>
  <dimension ref="A1:L49"/>
  <sheetViews>
    <sheetView topLeftCell="A11" zoomScaleNormal="100" workbookViewId="0">
      <selection activeCell="D38" sqref="D38:D44"/>
    </sheetView>
  </sheetViews>
  <sheetFormatPr defaultRowHeight="12.5" x14ac:dyDescent="0.25"/>
  <cols>
    <col min="1" max="1" width="23" bestFit="1" customWidth="1"/>
    <col min="2" max="2" width="31.453125" bestFit="1" customWidth="1"/>
    <col min="3" max="3" width="29.54296875" bestFit="1" customWidth="1"/>
    <col min="4" max="4" width="14.1796875" customWidth="1"/>
    <col min="6" max="6" width="17.26953125" customWidth="1"/>
    <col min="7" max="7" width="36.453125" bestFit="1" customWidth="1"/>
    <col min="9" max="9" width="5.26953125" bestFit="1" customWidth="1"/>
    <col min="11" max="11" width="16.81640625" bestFit="1" customWidth="1"/>
  </cols>
  <sheetData>
    <row r="1" spans="1:12" ht="13" x14ac:dyDescent="0.3">
      <c r="A1" s="2" t="s">
        <v>269</v>
      </c>
    </row>
    <row r="2" spans="1:12" ht="13" x14ac:dyDescent="0.3">
      <c r="A2" s="2" t="s">
        <v>183</v>
      </c>
    </row>
    <row r="5" spans="1:12" ht="13" thickBot="1" x14ac:dyDescent="0.3"/>
    <row r="6" spans="1:12" ht="15.5" x14ac:dyDescent="0.35">
      <c r="A6" s="110" t="s">
        <v>184</v>
      </c>
      <c r="C6" s="111" t="s">
        <v>185</v>
      </c>
      <c r="D6" s="112">
        <v>80</v>
      </c>
      <c r="E6" s="113" t="s">
        <v>186</v>
      </c>
      <c r="G6" t="s">
        <v>187</v>
      </c>
      <c r="H6" s="25">
        <f>D7*(1-14/100)/(1-D8/100)</f>
        <v>3858.9743589743589</v>
      </c>
      <c r="I6" t="s">
        <v>188</v>
      </c>
    </row>
    <row r="7" spans="1:12" x14ac:dyDescent="0.25">
      <c r="C7" s="114" t="s">
        <v>189</v>
      </c>
      <c r="D7" s="33">
        <v>3500</v>
      </c>
      <c r="E7" s="115" t="s">
        <v>188</v>
      </c>
      <c r="G7" t="s">
        <v>190</v>
      </c>
      <c r="H7">
        <f>D11*D10</f>
        <v>50</v>
      </c>
      <c r="I7" t="s">
        <v>191</v>
      </c>
    </row>
    <row r="8" spans="1:12" ht="15.5" x14ac:dyDescent="0.4">
      <c r="C8" s="114" t="s">
        <v>192</v>
      </c>
      <c r="D8" s="116">
        <v>22</v>
      </c>
      <c r="E8" s="115" t="s">
        <v>193</v>
      </c>
      <c r="G8" t="s">
        <v>194</v>
      </c>
      <c r="H8" s="6">
        <f>D6/(D10*D11)</f>
        <v>1.6</v>
      </c>
      <c r="I8" t="s">
        <v>195</v>
      </c>
    </row>
    <row r="9" spans="1:12" ht="14.5" x14ac:dyDescent="0.25">
      <c r="C9" s="114" t="s">
        <v>196</v>
      </c>
      <c r="D9" s="33">
        <v>70</v>
      </c>
      <c r="E9" s="115" t="s">
        <v>197</v>
      </c>
      <c r="G9" t="s">
        <v>198</v>
      </c>
      <c r="H9" s="25">
        <f>H6*H8*D11</f>
        <v>30871.794871794875</v>
      </c>
      <c r="I9" t="s">
        <v>199</v>
      </c>
      <c r="J9" s="25">
        <f>H9/(10*D9)</f>
        <v>44.102564102564109</v>
      </c>
      <c r="K9" t="s">
        <v>200</v>
      </c>
    </row>
    <row r="10" spans="1:12" ht="15.5" x14ac:dyDescent="0.4">
      <c r="C10" s="114" t="s">
        <v>201</v>
      </c>
      <c r="D10" s="33">
        <v>10</v>
      </c>
      <c r="E10" s="115" t="s">
        <v>202</v>
      </c>
    </row>
    <row r="11" spans="1:12" ht="16" thickBot="1" x14ac:dyDescent="0.45">
      <c r="C11" s="117" t="s">
        <v>203</v>
      </c>
      <c r="D11" s="118">
        <v>5</v>
      </c>
      <c r="E11" s="119" t="s">
        <v>204</v>
      </c>
    </row>
    <row r="13" spans="1:12" ht="13" thickBot="1" x14ac:dyDescent="0.3">
      <c r="A13" s="120"/>
      <c r="B13" s="120"/>
      <c r="C13" s="120"/>
      <c r="D13" s="246"/>
      <c r="E13" s="120"/>
      <c r="F13" s="120"/>
      <c r="G13" s="120"/>
      <c r="H13" s="120"/>
      <c r="I13" s="120"/>
      <c r="J13" s="120"/>
      <c r="K13" s="120"/>
      <c r="L13" s="120"/>
    </row>
    <row r="14" spans="1:12" ht="16" thickTop="1" x14ac:dyDescent="0.35">
      <c r="A14" s="110" t="s">
        <v>205</v>
      </c>
      <c r="B14" s="2" t="s">
        <v>206</v>
      </c>
      <c r="C14" s="114" t="s">
        <v>207</v>
      </c>
      <c r="D14" s="33">
        <v>0.95</v>
      </c>
      <c r="E14" s="115"/>
      <c r="G14" t="s">
        <v>208</v>
      </c>
      <c r="H14" s="6">
        <f>D14*D20*D16*D15*D19/10</f>
        <v>1.2635000000000001</v>
      </c>
      <c r="I14" t="s">
        <v>195</v>
      </c>
    </row>
    <row r="15" spans="1:12" x14ac:dyDescent="0.25">
      <c r="C15" s="114" t="s">
        <v>209</v>
      </c>
      <c r="D15" s="122">
        <v>3.5</v>
      </c>
      <c r="E15" s="123" t="s">
        <v>7</v>
      </c>
      <c r="G15" t="s">
        <v>210</v>
      </c>
      <c r="H15" s="25">
        <f>H14*H6</f>
        <v>4875.8141025641025</v>
      </c>
      <c r="I15" t="s">
        <v>211</v>
      </c>
    </row>
    <row r="16" spans="1:12" x14ac:dyDescent="0.25">
      <c r="C16" s="114" t="s">
        <v>212</v>
      </c>
      <c r="D16" s="33">
        <v>0.95</v>
      </c>
      <c r="E16" s="123"/>
      <c r="G16" t="s">
        <v>213</v>
      </c>
      <c r="H16">
        <f>D17*D9*10</f>
        <v>4900</v>
      </c>
      <c r="I16" t="s">
        <v>56</v>
      </c>
    </row>
    <row r="17" spans="1:12" ht="14.5" x14ac:dyDescent="0.25">
      <c r="C17" s="114" t="s">
        <v>214</v>
      </c>
      <c r="D17" s="122">
        <v>7</v>
      </c>
      <c r="E17" s="123" t="s">
        <v>215</v>
      </c>
      <c r="G17" t="s">
        <v>216</v>
      </c>
      <c r="H17" s="6">
        <f>H16/H15</f>
        <v>1.0049603813695807</v>
      </c>
      <c r="I17" t="s">
        <v>191</v>
      </c>
      <c r="J17" s="25">
        <f>H17*60</f>
        <v>60.297622882174842</v>
      </c>
      <c r="K17" t="s">
        <v>217</v>
      </c>
    </row>
    <row r="18" spans="1:12" ht="14.5" x14ac:dyDescent="0.25">
      <c r="C18" s="114" t="s">
        <v>218</v>
      </c>
      <c r="D18" s="33">
        <v>3</v>
      </c>
      <c r="E18" s="123" t="s">
        <v>217</v>
      </c>
      <c r="G18" t="s">
        <v>219</v>
      </c>
      <c r="H18" s="25">
        <f>D11*H15</f>
        <v>24379.070512820512</v>
      </c>
      <c r="I18" t="s">
        <v>220</v>
      </c>
      <c r="J18" s="25">
        <f>H18/(10*D9)</f>
        <v>34.827243589743588</v>
      </c>
      <c r="K18" t="s">
        <v>200</v>
      </c>
    </row>
    <row r="19" spans="1:12" x14ac:dyDescent="0.25">
      <c r="C19" s="114" t="s">
        <v>221</v>
      </c>
      <c r="D19" s="33">
        <v>5</v>
      </c>
      <c r="E19" s="123" t="s">
        <v>21</v>
      </c>
      <c r="G19" t="s">
        <v>222</v>
      </c>
      <c r="H19" s="6">
        <f>D6/H14</f>
        <v>63.316185199841705</v>
      </c>
      <c r="I19" t="s">
        <v>191</v>
      </c>
    </row>
    <row r="20" spans="1:12" ht="13" thickBot="1" x14ac:dyDescent="0.3">
      <c r="C20" s="117" t="s">
        <v>223</v>
      </c>
      <c r="D20" s="33">
        <v>0.8</v>
      </c>
      <c r="E20" s="124"/>
    </row>
    <row r="22" spans="1:12" ht="13" thickBot="1" x14ac:dyDescent="0.3">
      <c r="A22" s="120"/>
      <c r="B22" s="120"/>
      <c r="C22" s="120"/>
      <c r="D22" s="120"/>
      <c r="E22" s="120"/>
      <c r="F22" s="120"/>
      <c r="G22" s="120"/>
      <c r="H22" s="120"/>
      <c r="I22" s="120"/>
      <c r="J22" s="120"/>
      <c r="K22" s="120"/>
      <c r="L22" s="120"/>
    </row>
    <row r="23" spans="1:12" ht="16" thickTop="1" x14ac:dyDescent="0.35">
      <c r="A23" s="110" t="s">
        <v>224</v>
      </c>
      <c r="C23" s="111" t="s">
        <v>225</v>
      </c>
      <c r="D23" s="112">
        <v>0.9</v>
      </c>
      <c r="E23" s="113"/>
      <c r="G23" t="s">
        <v>226</v>
      </c>
      <c r="H23">
        <f>D24*D9*10</f>
        <v>7700</v>
      </c>
      <c r="I23" t="s">
        <v>227</v>
      </c>
    </row>
    <row r="24" spans="1:12" ht="14.5" x14ac:dyDescent="0.25">
      <c r="C24" s="114" t="s">
        <v>228</v>
      </c>
      <c r="D24" s="33">
        <v>11</v>
      </c>
      <c r="E24" s="115" t="s">
        <v>215</v>
      </c>
      <c r="G24" t="s">
        <v>229</v>
      </c>
      <c r="H24" s="6">
        <f>D24/D17</f>
        <v>1.5714285714285714</v>
      </c>
      <c r="I24" t="s">
        <v>43</v>
      </c>
    </row>
    <row r="25" spans="1:12" x14ac:dyDescent="0.25">
      <c r="C25" s="125" t="s">
        <v>230</v>
      </c>
      <c r="D25" s="33">
        <v>3</v>
      </c>
      <c r="E25" s="115" t="s">
        <v>231</v>
      </c>
      <c r="G25" t="s">
        <v>232</v>
      </c>
      <c r="H25" s="6">
        <f>H23/H15</f>
        <v>1.5792234564379124</v>
      </c>
      <c r="I25" t="s">
        <v>191</v>
      </c>
      <c r="J25" s="25">
        <f>H25*60</f>
        <v>94.753407386274745</v>
      </c>
      <c r="K25" t="s">
        <v>217</v>
      </c>
    </row>
    <row r="26" spans="1:12" x14ac:dyDescent="0.25">
      <c r="C26" s="125" t="s">
        <v>233</v>
      </c>
      <c r="D26" s="33">
        <v>12</v>
      </c>
      <c r="E26" s="123" t="s">
        <v>21</v>
      </c>
      <c r="G26" t="s">
        <v>234</v>
      </c>
      <c r="H26" s="4">
        <f>2*D25/D26</f>
        <v>0.5</v>
      </c>
      <c r="I26" t="s">
        <v>191</v>
      </c>
      <c r="J26">
        <f>H26*60</f>
        <v>30</v>
      </c>
      <c r="K26" t="s">
        <v>217</v>
      </c>
    </row>
    <row r="27" spans="1:12" ht="13" thickBot="1" x14ac:dyDescent="0.3">
      <c r="C27" s="126" t="s">
        <v>235</v>
      </c>
      <c r="D27" s="118">
        <v>10</v>
      </c>
      <c r="E27" s="119" t="s">
        <v>217</v>
      </c>
      <c r="G27" t="s">
        <v>236</v>
      </c>
      <c r="H27" s="6">
        <f>H26+D27/60</f>
        <v>0.66666666666666663</v>
      </c>
      <c r="I27" t="s">
        <v>191</v>
      </c>
      <c r="J27" s="25">
        <f>H27*60</f>
        <v>40</v>
      </c>
      <c r="K27" t="s">
        <v>217</v>
      </c>
    </row>
    <row r="28" spans="1:12" ht="14.5" x14ac:dyDescent="0.25">
      <c r="G28" t="s">
        <v>237</v>
      </c>
      <c r="H28" s="25">
        <f>H23/H27</f>
        <v>11550</v>
      </c>
      <c r="I28" t="s">
        <v>211</v>
      </c>
      <c r="J28" s="6">
        <f>H28/(10*D9)</f>
        <v>16.5</v>
      </c>
      <c r="K28" t="s">
        <v>238</v>
      </c>
    </row>
    <row r="29" spans="1:12" x14ac:dyDescent="0.25">
      <c r="G29" t="s">
        <v>239</v>
      </c>
      <c r="H29" s="6">
        <f>_xlfn.CEILING.MATH(D31)*D33</f>
        <v>2.6666666666666665</v>
      </c>
      <c r="I29" t="s">
        <v>191</v>
      </c>
    </row>
    <row r="30" spans="1:12" ht="13" x14ac:dyDescent="0.3">
      <c r="B30" s="2" t="s">
        <v>240</v>
      </c>
      <c r="C30" t="s">
        <v>241</v>
      </c>
      <c r="D30" s="127">
        <f>H15/H28</f>
        <v>0.42214840714840712</v>
      </c>
      <c r="E30" s="2" t="s">
        <v>43</v>
      </c>
      <c r="G30" s="2"/>
    </row>
    <row r="31" spans="1:12" ht="13" x14ac:dyDescent="0.3">
      <c r="B31" s="2"/>
      <c r="C31" t="s">
        <v>242</v>
      </c>
      <c r="D31" s="127">
        <f>J18/D24</f>
        <v>3.1661130536130533</v>
      </c>
      <c r="E31" s="2" t="s">
        <v>43</v>
      </c>
      <c r="H31" s="6"/>
    </row>
    <row r="32" spans="1:12" ht="13" x14ac:dyDescent="0.3">
      <c r="B32" s="2"/>
      <c r="C32" t="s">
        <v>243</v>
      </c>
    </row>
    <row r="33" spans="1:12" ht="13" x14ac:dyDescent="0.3">
      <c r="C33" s="128" t="s">
        <v>244</v>
      </c>
      <c r="D33" s="6">
        <f>H27</f>
        <v>0.66666666666666663</v>
      </c>
      <c r="E33" s="2"/>
    </row>
    <row r="34" spans="1:12" ht="15.5" x14ac:dyDescent="0.35">
      <c r="A34" s="110"/>
      <c r="B34" s="2"/>
      <c r="C34" s="128" t="s">
        <v>245</v>
      </c>
      <c r="D34" s="6">
        <f>H17</f>
        <v>1.0049603813695807</v>
      </c>
    </row>
    <row r="35" spans="1:12" ht="26" x14ac:dyDescent="0.35">
      <c r="C35" s="129" t="s">
        <v>246</v>
      </c>
      <c r="D35" s="130" t="str">
        <f>IF(D34&gt;D33,"Kyllä","Ei")</f>
        <v>Kyllä</v>
      </c>
      <c r="F35" s="131"/>
    </row>
    <row r="37" spans="1:12" ht="13" thickBot="1" x14ac:dyDescent="0.3">
      <c r="A37" s="120"/>
      <c r="B37" s="120"/>
      <c r="C37" s="132"/>
      <c r="D37" s="25"/>
      <c r="E37" s="120"/>
      <c r="F37" s="120"/>
      <c r="G37" s="120"/>
      <c r="H37" s="120"/>
      <c r="I37" s="120"/>
      <c r="J37" s="120"/>
      <c r="K37" s="120"/>
      <c r="L37" s="120"/>
    </row>
    <row r="38" spans="1:12" ht="16" thickTop="1" x14ac:dyDescent="0.35">
      <c r="A38" s="110" t="s">
        <v>247</v>
      </c>
      <c r="C38" t="s">
        <v>248</v>
      </c>
      <c r="D38" s="122">
        <v>25</v>
      </c>
      <c r="E38" t="s">
        <v>215</v>
      </c>
      <c r="G38" t="s">
        <v>249</v>
      </c>
      <c r="H38" s="6">
        <f>D38/D24</f>
        <v>2.2727272727272729</v>
      </c>
      <c r="I38" t="s">
        <v>43</v>
      </c>
    </row>
    <row r="39" spans="1:12" x14ac:dyDescent="0.25">
      <c r="C39" t="s">
        <v>250</v>
      </c>
      <c r="D39" s="116">
        <v>2</v>
      </c>
      <c r="E39" t="s">
        <v>43</v>
      </c>
      <c r="G39" t="s">
        <v>251</v>
      </c>
      <c r="H39" s="25">
        <f>D38*D9*10</f>
        <v>17500</v>
      </c>
      <c r="I39" t="s">
        <v>56</v>
      </c>
    </row>
    <row r="40" spans="1:12" x14ac:dyDescent="0.25">
      <c r="C40" t="s">
        <v>252</v>
      </c>
      <c r="D40" s="33">
        <v>1.2</v>
      </c>
      <c r="E40" t="s">
        <v>253</v>
      </c>
      <c r="G40" t="s">
        <v>254</v>
      </c>
      <c r="H40" s="6">
        <f>(D8-D41)/D40</f>
        <v>6.666666666666667</v>
      </c>
      <c r="I40" t="s">
        <v>191</v>
      </c>
    </row>
    <row r="41" spans="1:12" x14ac:dyDescent="0.25">
      <c r="C41" t="s">
        <v>255</v>
      </c>
      <c r="D41" s="33">
        <v>14</v>
      </c>
      <c r="E41" t="s">
        <v>193</v>
      </c>
      <c r="G41" t="s">
        <v>256</v>
      </c>
      <c r="H41" s="6">
        <f>(D42+D43+D44)/(60)</f>
        <v>2.3333333333333335</v>
      </c>
      <c r="I41" t="s">
        <v>191</v>
      </c>
    </row>
    <row r="42" spans="1:12" x14ac:dyDescent="0.25">
      <c r="C42" t="s">
        <v>257</v>
      </c>
      <c r="D42" s="33">
        <v>60</v>
      </c>
      <c r="E42" t="s">
        <v>217</v>
      </c>
      <c r="G42" t="s">
        <v>258</v>
      </c>
      <c r="H42" s="6">
        <f>H40+H41</f>
        <v>9</v>
      </c>
      <c r="I42" t="s">
        <v>191</v>
      </c>
    </row>
    <row r="43" spans="1:12" x14ac:dyDescent="0.25">
      <c r="C43" t="s">
        <v>259</v>
      </c>
      <c r="D43" s="33">
        <v>40</v>
      </c>
      <c r="E43" t="s">
        <v>217</v>
      </c>
      <c r="G43" t="s">
        <v>260</v>
      </c>
      <c r="H43" s="6">
        <f>D39*H42</f>
        <v>18</v>
      </c>
      <c r="I43" t="s">
        <v>191</v>
      </c>
    </row>
    <row r="44" spans="1:12" x14ac:dyDescent="0.25">
      <c r="C44" t="s">
        <v>261</v>
      </c>
      <c r="D44" s="33">
        <v>40</v>
      </c>
      <c r="E44" t="s">
        <v>217</v>
      </c>
      <c r="G44" t="s">
        <v>262</v>
      </c>
      <c r="H44">
        <f>D39*H39</f>
        <v>35000</v>
      </c>
      <c r="I44" t="s">
        <v>220</v>
      </c>
    </row>
    <row r="45" spans="1:12" ht="14.5" x14ac:dyDescent="0.25">
      <c r="G45" t="s">
        <v>263</v>
      </c>
      <c r="H45" s="6">
        <f>H48-D38</f>
        <v>9.8272435897435884</v>
      </c>
      <c r="I45" t="s">
        <v>215</v>
      </c>
    </row>
    <row r="46" spans="1:12" ht="13" thickBot="1" x14ac:dyDescent="0.3">
      <c r="A46" s="120"/>
      <c r="B46" s="120"/>
      <c r="C46" s="120"/>
      <c r="D46" s="120"/>
      <c r="E46" s="120"/>
      <c r="F46" s="120"/>
      <c r="G46" s="120"/>
      <c r="H46" s="120"/>
      <c r="I46" s="120"/>
      <c r="J46" s="120"/>
      <c r="K46" s="120"/>
      <c r="L46" s="120"/>
    </row>
    <row r="47" spans="1:12" ht="16" thickTop="1" x14ac:dyDescent="0.35">
      <c r="A47" s="110" t="s">
        <v>264</v>
      </c>
      <c r="C47" t="s">
        <v>265</v>
      </c>
      <c r="D47" s="25">
        <f>D39*H39/H42</f>
        <v>3888.8888888888887</v>
      </c>
      <c r="E47" t="s">
        <v>211</v>
      </c>
      <c r="F47">
        <f>H39*D39</f>
        <v>35000</v>
      </c>
      <c r="G47" t="s">
        <v>220</v>
      </c>
      <c r="H47">
        <f>D39*D38</f>
        <v>50</v>
      </c>
      <c r="I47" t="s">
        <v>266</v>
      </c>
    </row>
    <row r="48" spans="1:12" ht="14.5" x14ac:dyDescent="0.25">
      <c r="C48" t="s">
        <v>267</v>
      </c>
      <c r="D48" s="25">
        <f>H15</f>
        <v>4875.8141025641025</v>
      </c>
      <c r="E48" t="s">
        <v>211</v>
      </c>
      <c r="F48" s="25">
        <f>D48*D11</f>
        <v>24379.070512820512</v>
      </c>
      <c r="G48" t="s">
        <v>220</v>
      </c>
      <c r="H48" s="25">
        <f>J18</f>
        <v>34.827243589743588</v>
      </c>
      <c r="I48" t="s">
        <v>266</v>
      </c>
    </row>
    <row r="49" spans="3:9" ht="14.5" x14ac:dyDescent="0.25">
      <c r="C49" t="s">
        <v>268</v>
      </c>
      <c r="D49" s="25">
        <f>H28</f>
        <v>11550</v>
      </c>
      <c r="E49" t="s">
        <v>211</v>
      </c>
      <c r="F49" s="25">
        <f>H28*D11</f>
        <v>57750</v>
      </c>
      <c r="G49" t="s">
        <v>220</v>
      </c>
      <c r="H49" s="25">
        <f>J28*D11</f>
        <v>82.5</v>
      </c>
      <c r="I49" t="s">
        <v>266</v>
      </c>
    </row>
  </sheetData>
  <sheetProtection algorithmName="SHA-512" hashValue="tfdb9P6/VPQq+qyhKs5pNzhqc7x0pJi6+AZl8CDPkAcgI7N2tG0nArJxVapZCeWY+e/kKKeOAKVj8KTdPyGInA==" saltValue="0+cA2yTM8gKnAyV/1e831A==" spinCount="100000" sheet="1" objects="1" scenarios="1"/>
  <conditionalFormatting sqref="H47">
    <cfRule type="cellIs" dxfId="0" priority="1" operator="lessThan">
      <formula>$H$48</formula>
    </cfRule>
  </conditionalFormatting>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99AB7-262A-49B4-B6EB-63881787D570}">
  <sheetPr codeName="Sheet11"/>
  <dimension ref="A1:R38"/>
  <sheetViews>
    <sheetView topLeftCell="A25" workbookViewId="0">
      <selection activeCell="G26" sqref="G26:H37"/>
    </sheetView>
  </sheetViews>
  <sheetFormatPr defaultColWidth="9.1796875" defaultRowHeight="14.5" x14ac:dyDescent="0.35"/>
  <cols>
    <col min="1" max="1" width="9.1796875" style="35"/>
    <col min="2" max="2" width="42.7265625" style="35" customWidth="1"/>
    <col min="3" max="3" width="17.7265625" style="35" customWidth="1"/>
    <col min="4" max="4" width="13.453125" style="35" bestFit="1" customWidth="1"/>
    <col min="5" max="5" width="9.81640625" style="35" customWidth="1"/>
    <col min="6" max="8" width="11.1796875" style="35" customWidth="1"/>
    <col min="9" max="9" width="14.453125" style="35" bestFit="1" customWidth="1"/>
    <col min="10" max="10" width="13.26953125" style="35" bestFit="1" customWidth="1"/>
    <col min="11" max="11" width="10.7265625" style="35" customWidth="1"/>
    <col min="12" max="12" width="14.54296875" style="35" customWidth="1"/>
    <col min="13" max="13" width="12.54296875" style="35" customWidth="1"/>
    <col min="14" max="14" width="13.26953125" style="35" customWidth="1"/>
    <col min="15" max="15" width="12.453125" style="35" customWidth="1"/>
    <col min="16" max="16" width="12.81640625" style="35" customWidth="1"/>
    <col min="17" max="17" width="13.1796875" style="35" customWidth="1"/>
    <col min="18" max="18" width="14.81640625" style="35" customWidth="1"/>
    <col min="19" max="16384" width="9.1796875" style="35"/>
  </cols>
  <sheetData>
    <row r="1" spans="1:13" x14ac:dyDescent="0.35">
      <c r="A1" s="45" t="s">
        <v>429</v>
      </c>
    </row>
    <row r="2" spans="1:13" ht="14.5" customHeight="1" x14ac:dyDescent="0.35">
      <c r="B2" s="232" t="s">
        <v>430</v>
      </c>
      <c r="C2" s="232"/>
      <c r="D2" s="232"/>
      <c r="E2" s="232"/>
      <c r="F2" s="232"/>
      <c r="G2" s="232"/>
      <c r="H2" s="232"/>
      <c r="I2" s="232"/>
      <c r="J2" s="232"/>
      <c r="K2" s="232"/>
      <c r="L2" s="232"/>
      <c r="M2" s="49"/>
    </row>
    <row r="3" spans="1:13" ht="14.5" customHeight="1" x14ac:dyDescent="0.35">
      <c r="B3" s="232"/>
      <c r="C3" s="232"/>
      <c r="D3" s="232"/>
      <c r="E3" s="232"/>
      <c r="F3" s="232"/>
      <c r="G3" s="232"/>
      <c r="H3" s="232"/>
      <c r="I3" s="232"/>
      <c r="J3" s="232"/>
      <c r="K3" s="232"/>
      <c r="L3" s="232"/>
      <c r="M3" s="49"/>
    </row>
    <row r="4" spans="1:13" ht="14.5" customHeight="1" x14ac:dyDescent="0.35">
      <c r="B4" s="232"/>
      <c r="C4" s="232"/>
      <c r="D4" s="232"/>
      <c r="E4" s="232"/>
      <c r="F4" s="232"/>
      <c r="G4" s="232"/>
      <c r="H4" s="232"/>
      <c r="I4" s="232"/>
      <c r="J4" s="232"/>
      <c r="K4" s="232"/>
      <c r="L4" s="232"/>
      <c r="M4" s="49"/>
    </row>
    <row r="5" spans="1:13" ht="17" x14ac:dyDescent="0.35">
      <c r="B5" s="232"/>
      <c r="C5" s="232"/>
      <c r="D5" s="232"/>
      <c r="E5" s="232"/>
      <c r="F5" s="232"/>
      <c r="G5" s="232"/>
      <c r="H5" s="232"/>
      <c r="I5" s="232"/>
      <c r="J5" s="232"/>
      <c r="K5" s="232"/>
      <c r="L5" s="232"/>
      <c r="M5" s="49"/>
    </row>
    <row r="6" spans="1:13" ht="17" x14ac:dyDescent="0.35">
      <c r="B6" s="232"/>
      <c r="C6" s="232"/>
      <c r="D6" s="232"/>
      <c r="E6" s="232"/>
      <c r="F6" s="232"/>
      <c r="G6" s="232"/>
      <c r="H6" s="232"/>
      <c r="I6" s="232"/>
      <c r="J6" s="232"/>
      <c r="K6" s="232"/>
      <c r="L6" s="232"/>
      <c r="M6" s="49"/>
    </row>
    <row r="7" spans="1:13" ht="17" x14ac:dyDescent="0.35">
      <c r="B7" s="232"/>
      <c r="C7" s="232"/>
      <c r="D7" s="232"/>
      <c r="E7" s="232"/>
      <c r="F7" s="232"/>
      <c r="G7" s="232"/>
      <c r="H7" s="232"/>
      <c r="I7" s="232"/>
      <c r="J7" s="232"/>
      <c r="K7" s="232"/>
      <c r="L7" s="232"/>
      <c r="M7" s="49"/>
    </row>
    <row r="8" spans="1:13" ht="17.5" thickBot="1" x14ac:dyDescent="0.4">
      <c r="B8" s="57" t="s">
        <v>114</v>
      </c>
      <c r="C8" s="49"/>
      <c r="D8" s="49"/>
      <c r="E8" s="49"/>
      <c r="F8" s="49"/>
      <c r="G8" s="49"/>
      <c r="H8" s="49"/>
      <c r="I8" s="49"/>
      <c r="J8" s="49"/>
      <c r="K8" s="49"/>
      <c r="L8" s="49"/>
      <c r="M8" s="49"/>
    </row>
    <row r="9" spans="1:13" ht="17" x14ac:dyDescent="0.35">
      <c r="B9" s="56" t="s">
        <v>113</v>
      </c>
      <c r="C9" s="247">
        <v>0.5</v>
      </c>
      <c r="D9" s="55"/>
      <c r="E9" s="49"/>
      <c r="F9" s="49"/>
      <c r="G9" s="49"/>
      <c r="H9" s="49"/>
      <c r="I9" s="49"/>
      <c r="J9" s="49"/>
      <c r="K9" s="49"/>
      <c r="L9" s="49"/>
      <c r="M9" s="49"/>
    </row>
    <row r="10" spans="1:13" ht="17" x14ac:dyDescent="0.35">
      <c r="B10" s="51" t="s">
        <v>112</v>
      </c>
      <c r="C10" s="248">
        <v>0.08</v>
      </c>
      <c r="D10" s="50"/>
      <c r="E10" s="49"/>
      <c r="F10" s="49"/>
      <c r="G10" s="49"/>
      <c r="H10" s="49"/>
      <c r="I10" s="49"/>
      <c r="J10" s="49"/>
      <c r="K10" s="49"/>
      <c r="L10" s="49"/>
      <c r="M10" s="49"/>
    </row>
    <row r="11" spans="1:13" ht="17" x14ac:dyDescent="0.35">
      <c r="B11" s="51" t="s">
        <v>111</v>
      </c>
      <c r="C11" s="249">
        <v>0.1</v>
      </c>
      <c r="D11" s="52"/>
      <c r="E11" s="49"/>
      <c r="F11" s="49"/>
      <c r="G11" s="49"/>
      <c r="H11" s="49"/>
      <c r="I11" s="49"/>
      <c r="J11" s="49"/>
      <c r="K11" s="49"/>
      <c r="L11" s="49"/>
      <c r="M11" s="49"/>
    </row>
    <row r="12" spans="1:13" ht="17" x14ac:dyDescent="0.35">
      <c r="B12" s="51" t="s">
        <v>63</v>
      </c>
      <c r="C12" s="73">
        <f>1/((1-C11)*(1-C10/C9))</f>
        <v>1.3227513227513228</v>
      </c>
      <c r="D12" s="52"/>
      <c r="E12" s="49"/>
      <c r="F12" s="49"/>
      <c r="G12" s="49"/>
      <c r="H12" s="49"/>
      <c r="I12" s="49"/>
      <c r="J12" s="49"/>
      <c r="K12" s="49"/>
      <c r="L12" s="49"/>
      <c r="M12" s="49"/>
    </row>
    <row r="13" spans="1:13" ht="17" x14ac:dyDescent="0.35">
      <c r="B13" s="51" t="s">
        <v>110</v>
      </c>
      <c r="C13" s="248">
        <v>300</v>
      </c>
      <c r="D13" s="50" t="s">
        <v>109</v>
      </c>
      <c r="E13" s="49"/>
      <c r="F13" s="49"/>
      <c r="G13" s="49"/>
      <c r="H13" s="49"/>
      <c r="I13" s="49"/>
      <c r="J13" s="49"/>
      <c r="K13" s="49"/>
      <c r="L13" s="49"/>
      <c r="M13" s="49"/>
    </row>
    <row r="14" spans="1:13" ht="17" x14ac:dyDescent="0.35">
      <c r="B14" s="40" t="s">
        <v>108</v>
      </c>
      <c r="C14" s="167">
        <v>830</v>
      </c>
      <c r="D14" s="48" t="s">
        <v>107</v>
      </c>
      <c r="E14" s="49"/>
      <c r="G14" s="49"/>
      <c r="H14" s="49"/>
      <c r="I14" s="49"/>
      <c r="J14" s="49"/>
      <c r="K14" s="49"/>
      <c r="L14" s="49"/>
      <c r="M14" s="49"/>
    </row>
    <row r="15" spans="1:13" ht="17" x14ac:dyDescent="0.35">
      <c r="B15" s="40" t="s">
        <v>106</v>
      </c>
      <c r="C15" s="167">
        <v>2.99</v>
      </c>
      <c r="D15" s="48" t="s">
        <v>105</v>
      </c>
      <c r="E15" s="49"/>
      <c r="F15" s="49"/>
      <c r="G15" s="49"/>
      <c r="H15" s="49"/>
      <c r="I15" s="49"/>
      <c r="J15" s="49"/>
      <c r="K15" s="49"/>
      <c r="L15" s="49"/>
      <c r="M15" s="49"/>
    </row>
    <row r="16" spans="1:13" ht="17" x14ac:dyDescent="0.35">
      <c r="B16" s="51" t="s">
        <v>104</v>
      </c>
      <c r="C16" s="250">
        <v>0.9</v>
      </c>
      <c r="D16" s="48"/>
      <c r="E16" s="49"/>
      <c r="F16" s="49"/>
      <c r="G16" s="49"/>
      <c r="H16" s="49"/>
      <c r="I16" s="49"/>
      <c r="J16" s="49"/>
      <c r="K16" s="49"/>
      <c r="L16" s="49"/>
      <c r="M16" s="49"/>
    </row>
    <row r="17" spans="2:18" ht="17" x14ac:dyDescent="0.35">
      <c r="B17" s="51" t="s">
        <v>125</v>
      </c>
      <c r="C17" s="167" t="s">
        <v>126</v>
      </c>
      <c r="D17" s="48"/>
      <c r="E17" s="49"/>
      <c r="F17" s="49"/>
      <c r="G17" s="49"/>
      <c r="H17" s="49"/>
      <c r="I17" s="49"/>
      <c r="J17" s="49"/>
      <c r="K17" s="49"/>
      <c r="L17" s="49"/>
      <c r="M17" s="49"/>
    </row>
    <row r="18" spans="2:18" ht="17.5" thickBot="1" x14ac:dyDescent="0.4">
      <c r="B18" s="38"/>
      <c r="C18" s="74" cm="1">
        <f t="array" ref="C18">_xlfn.SWITCH(C17,"Ei varusteita",0,"Yksi varpajyrä",0.6,"Kaksi varpajyrää",1.2,"Etulata ja varpajyrä",1.6)</f>
        <v>1.6</v>
      </c>
      <c r="D18" s="46" t="s">
        <v>127</v>
      </c>
      <c r="E18" s="49"/>
      <c r="F18" s="49"/>
      <c r="G18" s="49"/>
      <c r="H18" s="49"/>
      <c r="I18" s="49"/>
      <c r="J18" s="49"/>
      <c r="K18" s="49"/>
      <c r="L18" s="49"/>
      <c r="M18" s="49"/>
    </row>
    <row r="19" spans="2:18" ht="17" x14ac:dyDescent="0.35">
      <c r="E19" s="49"/>
      <c r="F19" s="49"/>
      <c r="G19" s="49"/>
      <c r="H19" s="49"/>
      <c r="I19" s="49"/>
      <c r="J19" s="49"/>
      <c r="K19" s="49"/>
      <c r="L19" s="49"/>
      <c r="M19" s="49"/>
    </row>
    <row r="24" spans="2:18" ht="16" thickBot="1" x14ac:dyDescent="0.4">
      <c r="B24" s="59" t="s">
        <v>128</v>
      </c>
    </row>
    <row r="25" spans="2:18" ht="60" x14ac:dyDescent="0.45">
      <c r="B25" s="41" t="s">
        <v>103</v>
      </c>
      <c r="C25" s="75" t="s">
        <v>129</v>
      </c>
      <c r="D25" s="76" t="s">
        <v>130</v>
      </c>
      <c r="E25" s="76" t="s">
        <v>131</v>
      </c>
      <c r="F25" s="75" t="s">
        <v>132</v>
      </c>
      <c r="G25" s="76" t="s">
        <v>100</v>
      </c>
      <c r="H25" s="76" t="s">
        <v>99</v>
      </c>
      <c r="I25" s="76" t="s">
        <v>133</v>
      </c>
      <c r="J25" s="76" t="s">
        <v>134</v>
      </c>
      <c r="K25" s="76" t="s">
        <v>97</v>
      </c>
      <c r="L25" s="76" t="s">
        <v>96</v>
      </c>
      <c r="M25" s="76" t="s">
        <v>95</v>
      </c>
      <c r="N25" s="76" t="s">
        <v>94</v>
      </c>
      <c r="O25" s="76" t="s">
        <v>93</v>
      </c>
      <c r="P25" s="76" t="s">
        <v>92</v>
      </c>
      <c r="Q25" s="76" t="s">
        <v>91</v>
      </c>
      <c r="R25" s="77" t="s">
        <v>115</v>
      </c>
    </row>
    <row r="26" spans="2:18" ht="16.5" x14ac:dyDescent="0.35">
      <c r="B26" s="40" t="s">
        <v>135</v>
      </c>
      <c r="C26" s="39">
        <v>5.8</v>
      </c>
      <c r="D26" s="198">
        <v>10</v>
      </c>
      <c r="E26" s="198">
        <v>20</v>
      </c>
      <c r="F26" s="35">
        <f>(D26-1)*E26/100</f>
        <v>1.8</v>
      </c>
      <c r="G26" s="167">
        <v>20</v>
      </c>
      <c r="H26" s="167">
        <v>8</v>
      </c>
      <c r="I26" s="73">
        <f t="shared" ref="I26:I37" si="0">+D26*G26*C26/100</f>
        <v>11.6</v>
      </c>
      <c r="J26" s="73">
        <f>F26*$C$18</f>
        <v>2.8800000000000003</v>
      </c>
      <c r="K26" s="73">
        <f>+I26*(H26+J26)/3.6</f>
        <v>35.05777777777778</v>
      </c>
      <c r="L26" s="78">
        <f t="shared" ref="L26:L37" si="1">K26*$C$12</f>
        <v>46.372721928277485</v>
      </c>
      <c r="M26" s="78">
        <f>(I26+J26)*1000/($C$9-$C$10)/9.81</f>
        <v>3514.3925052181935</v>
      </c>
      <c r="N26" s="73">
        <f t="shared" ref="N26:N37" si="2">+F26*H26/10</f>
        <v>1.44</v>
      </c>
      <c r="O26" s="73">
        <f t="shared" ref="O26:O37" si="3">N26*$C$16</f>
        <v>1.296</v>
      </c>
      <c r="P26" s="73">
        <f t="shared" ref="P26:P37" si="4">L26*$C$13/$C$14</f>
        <v>16.761224793353307</v>
      </c>
      <c r="Q26" s="73">
        <f>+P26/O26</f>
        <v>12.933043822031872</v>
      </c>
      <c r="R26" s="79">
        <f t="shared" ref="R26:R37" si="5">$C$15*Q26</f>
        <v>38.669801027875302</v>
      </c>
    </row>
    <row r="27" spans="2:18" ht="16.5" x14ac:dyDescent="0.35">
      <c r="B27" s="40" t="s">
        <v>136</v>
      </c>
      <c r="C27" s="39">
        <v>7.5</v>
      </c>
      <c r="D27" s="198">
        <v>10</v>
      </c>
      <c r="E27" s="198">
        <v>20</v>
      </c>
      <c r="F27" s="35">
        <f t="shared" ref="F27:F37" si="6">(D27-1)*E27/100</f>
        <v>1.8</v>
      </c>
      <c r="G27" s="167">
        <v>20</v>
      </c>
      <c r="H27" s="167">
        <v>8</v>
      </c>
      <c r="I27" s="73">
        <f t="shared" si="0"/>
        <v>15</v>
      </c>
      <c r="J27" s="73">
        <f t="shared" ref="J27:J37" si="7">F27*$C$18</f>
        <v>2.8800000000000003</v>
      </c>
      <c r="K27" s="73">
        <f t="shared" ref="K27:K37" si="8">+I27*(H27+J27)/3.6</f>
        <v>45.333333333333336</v>
      </c>
      <c r="L27" s="78">
        <f t="shared" si="1"/>
        <v>59.964726631393305</v>
      </c>
      <c r="M27" s="78">
        <f t="shared" ref="M27:M37" si="9">(I27+J27)*1000/($C$9-$C$10)/9.81</f>
        <v>4339.5951652832382</v>
      </c>
      <c r="N27" s="73">
        <f t="shared" si="2"/>
        <v>1.44</v>
      </c>
      <c r="O27" s="73">
        <f t="shared" si="3"/>
        <v>1.296</v>
      </c>
      <c r="P27" s="73">
        <f t="shared" si="4"/>
        <v>21.673997577612038</v>
      </c>
      <c r="Q27" s="73">
        <f t="shared" ref="Q27:Q37" si="10">+P27/O27</f>
        <v>16.723763562972252</v>
      </c>
      <c r="R27" s="79">
        <f t="shared" si="5"/>
        <v>50.004053053287038</v>
      </c>
    </row>
    <row r="28" spans="2:18" ht="16.5" x14ac:dyDescent="0.35">
      <c r="B28" s="40" t="s">
        <v>137</v>
      </c>
      <c r="C28" s="39">
        <v>8.8000000000000007</v>
      </c>
      <c r="D28" s="198">
        <v>10</v>
      </c>
      <c r="E28" s="198">
        <v>20</v>
      </c>
      <c r="F28" s="35">
        <f t="shared" si="6"/>
        <v>1.8</v>
      </c>
      <c r="G28" s="167">
        <v>20</v>
      </c>
      <c r="H28" s="167">
        <v>8</v>
      </c>
      <c r="I28" s="73">
        <f t="shared" si="0"/>
        <v>17.600000000000001</v>
      </c>
      <c r="J28" s="73">
        <f t="shared" si="7"/>
        <v>2.8800000000000003</v>
      </c>
      <c r="K28" s="73">
        <f t="shared" si="8"/>
        <v>53.19111111111112</v>
      </c>
      <c r="L28" s="78">
        <f t="shared" si="1"/>
        <v>70.358612580834816</v>
      </c>
      <c r="M28" s="78">
        <f t="shared" si="9"/>
        <v>4970.6324935682733</v>
      </c>
      <c r="N28" s="73">
        <f t="shared" si="2"/>
        <v>1.44</v>
      </c>
      <c r="O28" s="73">
        <f t="shared" si="3"/>
        <v>1.296</v>
      </c>
      <c r="P28" s="73">
        <f t="shared" si="4"/>
        <v>25.430823824398125</v>
      </c>
      <c r="Q28" s="73">
        <f t="shared" si="10"/>
        <v>19.622549247220775</v>
      </c>
      <c r="R28" s="79">
        <f t="shared" si="5"/>
        <v>58.671422249190122</v>
      </c>
    </row>
    <row r="29" spans="2:18" ht="16.5" x14ac:dyDescent="0.35">
      <c r="B29" s="40" t="s">
        <v>138</v>
      </c>
      <c r="C29" s="39">
        <v>4</v>
      </c>
      <c r="D29" s="198">
        <v>12</v>
      </c>
      <c r="E29" s="198">
        <v>20</v>
      </c>
      <c r="F29" s="35">
        <f t="shared" si="6"/>
        <v>2.2000000000000002</v>
      </c>
      <c r="G29" s="167">
        <v>7</v>
      </c>
      <c r="H29" s="167">
        <v>8</v>
      </c>
      <c r="I29" s="73">
        <f t="shared" si="0"/>
        <v>3.36</v>
      </c>
      <c r="J29" s="73">
        <f t="shared" si="7"/>
        <v>3.5200000000000005</v>
      </c>
      <c r="K29" s="73">
        <f t="shared" si="8"/>
        <v>10.752000000000001</v>
      </c>
      <c r="L29" s="78">
        <f t="shared" si="1"/>
        <v>14.222222222222223</v>
      </c>
      <c r="M29" s="78">
        <f t="shared" si="9"/>
        <v>1669.8218533080919</v>
      </c>
      <c r="N29" s="73">
        <f t="shared" si="2"/>
        <v>1.7600000000000002</v>
      </c>
      <c r="O29" s="73">
        <f t="shared" si="3"/>
        <v>1.5840000000000003</v>
      </c>
      <c r="P29" s="73">
        <f t="shared" si="4"/>
        <v>5.1405622489959839</v>
      </c>
      <c r="Q29" s="73">
        <f t="shared" si="10"/>
        <v>3.2453044501237267</v>
      </c>
      <c r="R29" s="79">
        <f t="shared" si="5"/>
        <v>9.7034603058699442</v>
      </c>
    </row>
    <row r="30" spans="2:18" ht="16.5" x14ac:dyDescent="0.35">
      <c r="B30" s="40" t="s">
        <v>139</v>
      </c>
      <c r="C30" s="39">
        <v>5.3</v>
      </c>
      <c r="D30" s="198">
        <v>12</v>
      </c>
      <c r="E30" s="198">
        <v>20</v>
      </c>
      <c r="F30" s="35">
        <f t="shared" si="6"/>
        <v>2.2000000000000002</v>
      </c>
      <c r="G30" s="167">
        <v>7</v>
      </c>
      <c r="H30" s="167">
        <v>8</v>
      </c>
      <c r="I30" s="73">
        <f t="shared" si="0"/>
        <v>4.452</v>
      </c>
      <c r="J30" s="73">
        <f t="shared" si="7"/>
        <v>3.5200000000000005</v>
      </c>
      <c r="K30" s="73">
        <f t="shared" si="8"/>
        <v>14.2464</v>
      </c>
      <c r="L30" s="78">
        <f t="shared" si="1"/>
        <v>18.844444444444445</v>
      </c>
      <c r="M30" s="78">
        <f t="shared" si="9"/>
        <v>1934.8575311878064</v>
      </c>
      <c r="N30" s="73">
        <f t="shared" si="2"/>
        <v>1.7600000000000002</v>
      </c>
      <c r="O30" s="73">
        <f t="shared" si="3"/>
        <v>1.5840000000000003</v>
      </c>
      <c r="P30" s="73">
        <f t="shared" si="4"/>
        <v>6.811244979919679</v>
      </c>
      <c r="Q30" s="73">
        <f t="shared" si="10"/>
        <v>4.3000283964139383</v>
      </c>
      <c r="R30" s="79">
        <f t="shared" si="5"/>
        <v>12.857084905277677</v>
      </c>
    </row>
    <row r="31" spans="2:18" ht="16.5" x14ac:dyDescent="0.35">
      <c r="B31" s="40" t="s">
        <v>140</v>
      </c>
      <c r="C31" s="39">
        <v>6.1</v>
      </c>
      <c r="D31" s="198">
        <v>12</v>
      </c>
      <c r="E31" s="198">
        <v>20</v>
      </c>
      <c r="F31" s="35">
        <f t="shared" si="6"/>
        <v>2.2000000000000002</v>
      </c>
      <c r="G31" s="167">
        <v>7</v>
      </c>
      <c r="H31" s="167">
        <v>8</v>
      </c>
      <c r="I31" s="73">
        <f t="shared" si="0"/>
        <v>5.1239999999999997</v>
      </c>
      <c r="J31" s="73">
        <f t="shared" si="7"/>
        <v>3.5200000000000005</v>
      </c>
      <c r="K31" s="73">
        <f t="shared" si="8"/>
        <v>16.396799999999999</v>
      </c>
      <c r="L31" s="78">
        <f t="shared" si="1"/>
        <v>21.688888888888886</v>
      </c>
      <c r="M31" s="78">
        <f t="shared" si="9"/>
        <v>2097.9564098830156</v>
      </c>
      <c r="N31" s="73">
        <f t="shared" si="2"/>
        <v>1.7600000000000002</v>
      </c>
      <c r="O31" s="73">
        <f t="shared" si="3"/>
        <v>1.5840000000000003</v>
      </c>
      <c r="P31" s="73">
        <f t="shared" si="4"/>
        <v>7.8393574297188744</v>
      </c>
      <c r="Q31" s="73">
        <f t="shared" si="10"/>
        <v>4.9490892864386824</v>
      </c>
      <c r="R31" s="79">
        <f t="shared" si="5"/>
        <v>14.797776966451661</v>
      </c>
    </row>
    <row r="32" spans="2:18" ht="16.5" x14ac:dyDescent="0.35">
      <c r="B32" s="40" t="s">
        <v>141</v>
      </c>
      <c r="C32" s="39">
        <v>2.2999999999999998</v>
      </c>
      <c r="D32" s="198">
        <v>60</v>
      </c>
      <c r="E32" s="198">
        <v>10</v>
      </c>
      <c r="F32" s="35">
        <f t="shared" si="6"/>
        <v>5.9</v>
      </c>
      <c r="G32" s="167">
        <v>7</v>
      </c>
      <c r="H32" s="167">
        <v>7</v>
      </c>
      <c r="I32" s="73">
        <f t="shared" si="0"/>
        <v>9.6599999999999984</v>
      </c>
      <c r="J32" s="73">
        <f t="shared" si="7"/>
        <v>9.4400000000000013</v>
      </c>
      <c r="K32" s="73">
        <f t="shared" si="8"/>
        <v>44.113999999999997</v>
      </c>
      <c r="L32" s="78">
        <f t="shared" si="1"/>
        <v>58.351851851851848</v>
      </c>
      <c r="M32" s="78">
        <f t="shared" si="9"/>
        <v>4635.6972962477548</v>
      </c>
      <c r="N32" s="73">
        <f t="shared" si="2"/>
        <v>4.1300000000000008</v>
      </c>
      <c r="O32" s="73">
        <f t="shared" si="3"/>
        <v>3.717000000000001</v>
      </c>
      <c r="P32" s="73">
        <f t="shared" si="4"/>
        <v>21.091030789825968</v>
      </c>
      <c r="Q32" s="73">
        <f t="shared" si="10"/>
        <v>5.6742079068673563</v>
      </c>
      <c r="R32" s="79">
        <f t="shared" si="5"/>
        <v>16.965881641533397</v>
      </c>
    </row>
    <row r="33" spans="2:18" ht="16.5" x14ac:dyDescent="0.35">
      <c r="B33" s="40" t="s">
        <v>142</v>
      </c>
      <c r="C33" s="39">
        <v>4.8</v>
      </c>
      <c r="D33" s="198">
        <v>60</v>
      </c>
      <c r="E33" s="198">
        <v>10</v>
      </c>
      <c r="F33" s="35">
        <f t="shared" si="6"/>
        <v>5.9</v>
      </c>
      <c r="G33" s="167">
        <v>7</v>
      </c>
      <c r="H33" s="167">
        <v>7</v>
      </c>
      <c r="I33" s="73">
        <f t="shared" si="0"/>
        <v>20.16</v>
      </c>
      <c r="J33" s="73">
        <f t="shared" si="7"/>
        <v>9.4400000000000013</v>
      </c>
      <c r="K33" s="73">
        <f t="shared" si="8"/>
        <v>92.064000000000007</v>
      </c>
      <c r="L33" s="78">
        <f t="shared" si="1"/>
        <v>121.77777777777779</v>
      </c>
      <c r="M33" s="78">
        <f t="shared" si="9"/>
        <v>7184.1172758603943</v>
      </c>
      <c r="N33" s="73">
        <f t="shared" si="2"/>
        <v>4.1300000000000008</v>
      </c>
      <c r="O33" s="73">
        <f t="shared" si="3"/>
        <v>3.717000000000001</v>
      </c>
      <c r="P33" s="73">
        <f t="shared" si="4"/>
        <v>44.016064257028113</v>
      </c>
      <c r="Q33" s="73">
        <f t="shared" si="10"/>
        <v>11.841825196940571</v>
      </c>
      <c r="R33" s="79">
        <f t="shared" si="5"/>
        <v>35.407057338852312</v>
      </c>
    </row>
    <row r="34" spans="2:18" ht="16.5" x14ac:dyDescent="0.35">
      <c r="B34" s="40" t="s">
        <v>143</v>
      </c>
      <c r="C34" s="39">
        <v>1.5</v>
      </c>
      <c r="D34" s="198">
        <v>60</v>
      </c>
      <c r="E34" s="198">
        <v>10</v>
      </c>
      <c r="F34" s="35">
        <f t="shared" si="6"/>
        <v>5.9</v>
      </c>
      <c r="G34" s="167">
        <v>7</v>
      </c>
      <c r="H34" s="167">
        <v>7</v>
      </c>
      <c r="I34" s="73">
        <f t="shared" si="0"/>
        <v>6.3</v>
      </c>
      <c r="J34" s="73">
        <f t="shared" si="7"/>
        <v>9.4400000000000013</v>
      </c>
      <c r="K34" s="73">
        <f t="shared" si="8"/>
        <v>28.77</v>
      </c>
      <c r="L34" s="78">
        <f t="shared" si="1"/>
        <v>38.055555555555557</v>
      </c>
      <c r="M34" s="78">
        <f t="shared" si="9"/>
        <v>3820.2029027717103</v>
      </c>
      <c r="N34" s="73">
        <f t="shared" si="2"/>
        <v>4.1300000000000008</v>
      </c>
      <c r="O34" s="73">
        <f t="shared" si="3"/>
        <v>3.717000000000001</v>
      </c>
      <c r="P34" s="73">
        <f t="shared" si="4"/>
        <v>13.755020080321287</v>
      </c>
      <c r="Q34" s="73">
        <f t="shared" si="10"/>
        <v>3.7005703740439291</v>
      </c>
      <c r="R34" s="79">
        <f t="shared" si="5"/>
        <v>11.064705418391348</v>
      </c>
    </row>
    <row r="35" spans="2:18" ht="16.5" x14ac:dyDescent="0.35">
      <c r="B35" s="40" t="s">
        <v>144</v>
      </c>
      <c r="C35" s="39">
        <v>3.3</v>
      </c>
      <c r="D35" s="198">
        <v>60</v>
      </c>
      <c r="E35" s="198">
        <v>10</v>
      </c>
      <c r="F35" s="35">
        <f t="shared" si="6"/>
        <v>5.9</v>
      </c>
      <c r="G35" s="167">
        <v>7</v>
      </c>
      <c r="H35" s="167">
        <v>7</v>
      </c>
      <c r="I35" s="73">
        <f t="shared" si="0"/>
        <v>13.86</v>
      </c>
      <c r="J35" s="73">
        <f t="shared" si="7"/>
        <v>9.4400000000000013</v>
      </c>
      <c r="K35" s="73">
        <f t="shared" si="8"/>
        <v>63.294000000000004</v>
      </c>
      <c r="L35" s="78">
        <f t="shared" si="1"/>
        <v>83.722222222222229</v>
      </c>
      <c r="M35" s="78">
        <f t="shared" si="9"/>
        <v>5655.065288092811</v>
      </c>
      <c r="N35" s="73">
        <f t="shared" si="2"/>
        <v>4.1300000000000008</v>
      </c>
      <c r="O35" s="73">
        <f t="shared" si="3"/>
        <v>3.717000000000001</v>
      </c>
      <c r="P35" s="73">
        <f t="shared" si="4"/>
        <v>30.261044176706829</v>
      </c>
      <c r="Q35" s="73">
        <f t="shared" si="10"/>
        <v>8.1412548228966433</v>
      </c>
      <c r="R35" s="79">
        <f t="shared" si="5"/>
        <v>24.342351920460967</v>
      </c>
    </row>
    <row r="36" spans="2:18" ht="16.5" x14ac:dyDescent="0.35">
      <c r="B36" s="40" t="s">
        <v>145</v>
      </c>
      <c r="C36" s="39">
        <v>1.8</v>
      </c>
      <c r="D36" s="198">
        <v>60</v>
      </c>
      <c r="E36" s="198">
        <v>10</v>
      </c>
      <c r="F36" s="35">
        <f t="shared" si="6"/>
        <v>5.9</v>
      </c>
      <c r="G36" s="167">
        <v>7</v>
      </c>
      <c r="H36" s="167">
        <v>10</v>
      </c>
      <c r="I36" s="73">
        <f t="shared" si="0"/>
        <v>7.56</v>
      </c>
      <c r="J36" s="73">
        <f t="shared" si="7"/>
        <v>9.4400000000000013</v>
      </c>
      <c r="K36" s="73">
        <f t="shared" si="8"/>
        <v>40.823999999999998</v>
      </c>
      <c r="L36" s="78">
        <f t="shared" si="1"/>
        <v>54</v>
      </c>
      <c r="M36" s="78">
        <f t="shared" si="9"/>
        <v>4126.0133003252267</v>
      </c>
      <c r="N36" s="73">
        <f t="shared" si="2"/>
        <v>5.9</v>
      </c>
      <c r="O36" s="73">
        <f t="shared" si="3"/>
        <v>5.3100000000000005</v>
      </c>
      <c r="P36" s="73">
        <f t="shared" si="4"/>
        <v>19.518072289156628</v>
      </c>
      <c r="Q36" s="73">
        <f t="shared" si="10"/>
        <v>3.6757198284664079</v>
      </c>
      <c r="R36" s="79">
        <f t="shared" si="5"/>
        <v>10.990402287114561</v>
      </c>
    </row>
    <row r="37" spans="2:18" ht="17" thickBot="1" x14ac:dyDescent="0.4">
      <c r="B37" s="38" t="s">
        <v>146</v>
      </c>
      <c r="C37" s="80">
        <v>4.2</v>
      </c>
      <c r="D37" s="251">
        <v>60</v>
      </c>
      <c r="E37" s="251">
        <v>10</v>
      </c>
      <c r="F37" s="81">
        <f t="shared" si="6"/>
        <v>5.9</v>
      </c>
      <c r="G37" s="187">
        <v>7</v>
      </c>
      <c r="H37" s="187">
        <v>10</v>
      </c>
      <c r="I37" s="82">
        <f t="shared" si="0"/>
        <v>17.64</v>
      </c>
      <c r="J37" s="82">
        <f t="shared" si="7"/>
        <v>9.4400000000000013</v>
      </c>
      <c r="K37" s="82">
        <f t="shared" si="8"/>
        <v>95.256</v>
      </c>
      <c r="L37" s="83">
        <f t="shared" si="1"/>
        <v>126</v>
      </c>
      <c r="M37" s="83">
        <f t="shared" si="9"/>
        <v>6572.4964807533624</v>
      </c>
      <c r="N37" s="82">
        <f t="shared" si="2"/>
        <v>5.9</v>
      </c>
      <c r="O37" s="82">
        <f t="shared" si="3"/>
        <v>5.3100000000000005</v>
      </c>
      <c r="P37" s="82">
        <f t="shared" si="4"/>
        <v>45.542168674698793</v>
      </c>
      <c r="Q37" s="82">
        <f t="shared" si="10"/>
        <v>8.5766795997549501</v>
      </c>
      <c r="R37" s="84">
        <f t="shared" si="5"/>
        <v>25.644272003267304</v>
      </c>
    </row>
    <row r="38" spans="2:18" x14ac:dyDescent="0.35">
      <c r="B38" s="37" t="s">
        <v>147</v>
      </c>
    </row>
  </sheetData>
  <sheetProtection algorithmName="SHA-512" hashValue="8Uv3C9qVd5Na5N0JGYdGrVCmfCmSv2GecinM6fakQHj4Em9EsU8mxHsIOc/V8HilayTlQXmuEKwWgA1e4Kt5AQ==" saltValue="XIlvbJ5nsIQC7/gdeOcPLA==" spinCount="100000" sheet="1" objects="1" scenarios="1"/>
  <mergeCells count="1">
    <mergeCell ref="B2:L7"/>
  </mergeCells>
  <dataValidations count="8">
    <dataValidation type="list" allowBlank="1" showInputMessage="1" showErrorMessage="1" sqref="C17" xr:uid="{D5CE3784-1994-41F1-8296-31F8FA053671}">
      <formula1>"Ei varusteita,Yksi varpajyrä,Kaksi varpajyrää,Etulata ja varpajyrä"</formula1>
    </dataValidation>
    <dataValidation type="decimal" allowBlank="1" showInputMessage="1" showErrorMessage="1" error="Anna lukema väliltä 0,05 - 0,1" prompt="Kovan pellon vierimisvastuskerroin on luokkaa 0,07 ja pehmeän 0,1" sqref="C10" xr:uid="{1EE74722-FD35-468E-A872-B6209FAAE9E4}">
      <formula1>0.05</formula1>
      <formula2>0.1</formula2>
    </dataValidation>
    <dataValidation type="whole" allowBlank="1" showInputMessage="1" showErrorMessage="1" error="Polttoaineen kulutus on normaalisti 250 - 350 g/kWh " prompt="Täysin kuormitetun moottorin ominaiskulutus on 250 - 280 g/kWh. Osakuormalla kulutus on luokkaa 300 - 350 g/kWh" sqref="C13" xr:uid="{C5C0F717-0AC2-40EA-BBB9-5A0D0545570B}">
      <formula1>250</formula1>
      <formula2>350</formula2>
    </dataValidation>
    <dataValidation type="decimal" allowBlank="1" showInputMessage="1" showErrorMessage="1" prompt="Talvilaadun tiheys on useimmiten 820 ja kesälaadun 830 " sqref="C14" xr:uid="{4CBECA4F-3F96-42C4-BF81-D50F0DF3B83E}">
      <formula1>820</formula1>
      <formula2>840</formula2>
    </dataValidation>
    <dataValidation allowBlank="1" showInputMessage="1" showErrorMessage="1" prompt="Tilastokeskun tarkistaa luokituksia säännöllisesti" sqref="C19" xr:uid="{ABC2D87D-E73B-4FA6-8260-A307A4CB291C}"/>
    <dataValidation type="decimal" allowBlank="1" showInputMessage="1" showErrorMessage="1" prompt="Oheisessa kuvassa on kertoimen arvoja. 500 on pehmeä pelto, 700 normaali muokattu pelto ja 1400 kuiva ja kantava pelto. Valitse arvo kuvasta luisto ja kerroin." sqref="C9" xr:uid="{350B169B-EE11-4F83-9E73-7F8066D1DB7F}">
      <formula1>0.2</formula1>
      <formula2>0.7</formula2>
    </dataValidation>
    <dataValidation type="whole" allowBlank="1" showInputMessage="1" showErrorMessage="1" prompt="Veto on tehoikkaimmillaan 10 - 15% luistolla" sqref="C11" xr:uid="{4615350E-CC8E-43CF-8782-8A1ED6FBC533}">
      <formula1>5</formula1>
      <formula2>20</formula2>
    </dataValidation>
    <dataValidation allowBlank="1" showInputMessage="1" showErrorMessage="1" prompt="Tilastokeskus päivittää lukemia säännöllisesti" sqref="C15" xr:uid="{CFF148F7-6166-4072-859F-99FD49B0A7E7}"/>
  </dataValidation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3D9A3-1D34-4C3E-ABF7-AE4F46F45703}">
  <sheetPr codeName="Sheet12"/>
  <dimension ref="A1:O31"/>
  <sheetViews>
    <sheetView topLeftCell="A30" workbookViewId="0">
      <selection activeCell="D22" sqref="D22:F30"/>
    </sheetView>
  </sheetViews>
  <sheetFormatPr defaultColWidth="9.1796875" defaultRowHeight="14.5" x14ac:dyDescent="0.35"/>
  <cols>
    <col min="1" max="1" width="9.1796875" style="35"/>
    <col min="2" max="2" width="41.81640625" style="35" bestFit="1" customWidth="1"/>
    <col min="3" max="3" width="14.1796875" style="35" customWidth="1"/>
    <col min="4" max="4" width="13.453125" style="35" bestFit="1" customWidth="1"/>
    <col min="5" max="5" width="9.81640625" style="35" customWidth="1"/>
    <col min="6" max="8" width="11.1796875" style="35" customWidth="1"/>
    <col min="9" max="9" width="14.453125" style="35" bestFit="1" customWidth="1"/>
    <col min="10" max="10" width="13.26953125" style="35" bestFit="1" customWidth="1"/>
    <col min="11" max="11" width="12.81640625" style="35" customWidth="1"/>
    <col min="12" max="13" width="12.54296875" style="35" customWidth="1"/>
    <col min="14" max="14" width="13.26953125" style="35" customWidth="1"/>
    <col min="15" max="15" width="12.453125" style="35" customWidth="1"/>
    <col min="16" max="16" width="20.453125" style="35" customWidth="1"/>
    <col min="17" max="16384" width="9.1796875" style="35"/>
  </cols>
  <sheetData>
    <row r="1" spans="1:13" x14ac:dyDescent="0.35">
      <c r="A1" s="45" t="s">
        <v>429</v>
      </c>
    </row>
    <row r="2" spans="1:13" ht="14.5" customHeight="1" x14ac:dyDescent="0.35">
      <c r="B2" s="232" t="s">
        <v>116</v>
      </c>
      <c r="C2" s="232"/>
      <c r="D2" s="232"/>
      <c r="E2" s="232"/>
      <c r="F2" s="232"/>
      <c r="G2" s="232"/>
      <c r="H2" s="232"/>
      <c r="I2" s="232"/>
      <c r="J2" s="232"/>
      <c r="K2" s="232"/>
      <c r="L2" s="232"/>
      <c r="M2" s="49"/>
    </row>
    <row r="3" spans="1:13" ht="14.5" customHeight="1" x14ac:dyDescent="0.35">
      <c r="B3" s="232"/>
      <c r="C3" s="232"/>
      <c r="D3" s="232"/>
      <c r="E3" s="232"/>
      <c r="F3" s="232"/>
      <c r="G3" s="232"/>
      <c r="H3" s="232"/>
      <c r="I3" s="232"/>
      <c r="J3" s="232"/>
      <c r="K3" s="232"/>
      <c r="L3" s="232"/>
      <c r="M3" s="49"/>
    </row>
    <row r="4" spans="1:13" ht="14.5" customHeight="1" x14ac:dyDescent="0.35">
      <c r="B4" s="232"/>
      <c r="C4" s="232"/>
      <c r="D4" s="232"/>
      <c r="E4" s="232"/>
      <c r="F4" s="232"/>
      <c r="G4" s="232"/>
      <c r="H4" s="232"/>
      <c r="I4" s="232"/>
      <c r="J4" s="232"/>
      <c r="K4" s="232"/>
      <c r="L4" s="232"/>
      <c r="M4" s="49"/>
    </row>
    <row r="5" spans="1:13" ht="17" x14ac:dyDescent="0.35">
      <c r="B5" s="232"/>
      <c r="C5" s="232"/>
      <c r="D5" s="232"/>
      <c r="E5" s="232"/>
      <c r="F5" s="232"/>
      <c r="G5" s="232"/>
      <c r="H5" s="232"/>
      <c r="I5" s="232"/>
      <c r="J5" s="232"/>
      <c r="K5" s="232"/>
      <c r="L5" s="232"/>
      <c r="M5" s="49"/>
    </row>
    <row r="6" spans="1:13" ht="17" x14ac:dyDescent="0.35">
      <c r="B6" s="232"/>
      <c r="C6" s="232"/>
      <c r="D6" s="232"/>
      <c r="E6" s="232"/>
      <c r="F6" s="232"/>
      <c r="G6" s="232"/>
      <c r="H6" s="232"/>
      <c r="I6" s="232"/>
      <c r="J6" s="232"/>
      <c r="K6" s="232"/>
      <c r="L6" s="232"/>
      <c r="M6" s="49"/>
    </row>
    <row r="7" spans="1:13" ht="17" x14ac:dyDescent="0.35">
      <c r="B7" s="232"/>
      <c r="C7" s="232"/>
      <c r="D7" s="232"/>
      <c r="E7" s="232"/>
      <c r="F7" s="232"/>
      <c r="G7" s="232"/>
      <c r="H7" s="232"/>
      <c r="I7" s="232"/>
      <c r="J7" s="232"/>
      <c r="K7" s="232"/>
      <c r="L7" s="232"/>
      <c r="M7" s="49"/>
    </row>
    <row r="8" spans="1:13" ht="17" x14ac:dyDescent="0.35">
      <c r="B8" s="49"/>
      <c r="C8" s="49"/>
      <c r="D8" s="49"/>
      <c r="E8" s="49"/>
      <c r="F8" s="49"/>
      <c r="G8" s="49"/>
      <c r="H8" s="49"/>
      <c r="I8" s="49"/>
      <c r="J8" s="49"/>
      <c r="K8" s="49"/>
      <c r="L8" s="49"/>
      <c r="M8" s="49"/>
    </row>
    <row r="9" spans="1:13" ht="17" x14ac:dyDescent="0.35">
      <c r="B9" s="49"/>
      <c r="C9" s="49"/>
      <c r="D9" s="49"/>
      <c r="E9" s="49"/>
      <c r="F9" s="49"/>
      <c r="G9" s="49"/>
      <c r="H9" s="49"/>
      <c r="I9" s="49"/>
      <c r="J9" s="49"/>
      <c r="K9" s="49"/>
      <c r="L9" s="49"/>
      <c r="M9" s="49"/>
    </row>
    <row r="10" spans="1:13" ht="17.5" thickBot="1" x14ac:dyDescent="0.4">
      <c r="B10" s="57" t="s">
        <v>114</v>
      </c>
      <c r="C10" s="49"/>
      <c r="D10" s="49"/>
      <c r="E10" s="49"/>
      <c r="F10" s="49"/>
      <c r="G10" s="49"/>
      <c r="H10" s="49"/>
      <c r="I10" s="49"/>
      <c r="J10" s="49"/>
      <c r="K10" s="49"/>
      <c r="L10" s="49"/>
      <c r="M10" s="49"/>
    </row>
    <row r="11" spans="1:13" ht="17" x14ac:dyDescent="0.35">
      <c r="B11" s="56" t="s">
        <v>113</v>
      </c>
      <c r="C11" s="247">
        <v>0.55000000000000004</v>
      </c>
      <c r="D11" s="55"/>
      <c r="E11" s="49"/>
      <c r="F11" s="49"/>
      <c r="G11" s="49"/>
      <c r="H11" s="49"/>
      <c r="I11" s="49"/>
      <c r="J11" s="49"/>
      <c r="K11" s="49"/>
      <c r="L11" s="49"/>
      <c r="M11" s="49"/>
    </row>
    <row r="12" spans="1:13" ht="17" x14ac:dyDescent="0.35">
      <c r="B12" s="51" t="s">
        <v>112</v>
      </c>
      <c r="C12" s="248">
        <v>0.08</v>
      </c>
      <c r="D12" s="50"/>
      <c r="E12" s="49"/>
      <c r="F12" s="49"/>
      <c r="G12" s="49"/>
      <c r="H12" s="49"/>
      <c r="I12" s="49"/>
      <c r="J12" s="49"/>
      <c r="K12" s="49"/>
      <c r="L12" s="49"/>
      <c r="M12" s="49"/>
    </row>
    <row r="13" spans="1:13" ht="17" x14ac:dyDescent="0.35">
      <c r="B13" s="51" t="s">
        <v>111</v>
      </c>
      <c r="C13" s="249">
        <v>0.15</v>
      </c>
      <c r="D13" s="52"/>
      <c r="E13" s="49"/>
      <c r="F13" s="49"/>
      <c r="G13" s="49"/>
      <c r="H13" s="49"/>
      <c r="I13" s="49"/>
      <c r="J13" s="49"/>
      <c r="K13" s="49"/>
      <c r="L13" s="49"/>
      <c r="M13" s="49"/>
    </row>
    <row r="14" spans="1:13" ht="17" x14ac:dyDescent="0.35">
      <c r="B14" s="51" t="s">
        <v>63</v>
      </c>
      <c r="C14" s="53">
        <f>1/((1-C13)*(1-C12/C11))</f>
        <v>1.3767209011264081</v>
      </c>
      <c r="D14" s="52"/>
      <c r="E14" s="49"/>
      <c r="G14" s="49"/>
      <c r="H14" s="49"/>
      <c r="I14" s="49"/>
      <c r="J14" s="49"/>
      <c r="K14" s="49"/>
      <c r="L14" s="49"/>
      <c r="M14" s="49"/>
    </row>
    <row r="15" spans="1:13" ht="17" x14ac:dyDescent="0.35">
      <c r="B15" s="51" t="s">
        <v>110</v>
      </c>
      <c r="C15" s="248">
        <v>300</v>
      </c>
      <c r="D15" s="50" t="s">
        <v>109</v>
      </c>
      <c r="E15" s="49"/>
      <c r="F15" s="49"/>
      <c r="G15" s="49"/>
      <c r="H15" s="49"/>
      <c r="I15" s="49"/>
      <c r="J15" s="49"/>
      <c r="K15" s="49"/>
      <c r="L15" s="49"/>
      <c r="M15" s="49"/>
    </row>
    <row r="16" spans="1:13" x14ac:dyDescent="0.35">
      <c r="B16" s="40" t="s">
        <v>108</v>
      </c>
      <c r="C16" s="167">
        <v>830</v>
      </c>
      <c r="D16" s="48" t="s">
        <v>107</v>
      </c>
    </row>
    <row r="17" spans="2:15" x14ac:dyDescent="0.35">
      <c r="B17" s="40" t="s">
        <v>106</v>
      </c>
      <c r="C17" s="167">
        <v>2.99</v>
      </c>
      <c r="D17" s="48" t="s">
        <v>105</v>
      </c>
    </row>
    <row r="18" spans="2:15" ht="15" thickBot="1" x14ac:dyDescent="0.4">
      <c r="B18" s="47" t="s">
        <v>104</v>
      </c>
      <c r="C18" s="252">
        <v>0.9</v>
      </c>
      <c r="D18" s="46"/>
    </row>
    <row r="20" spans="2:15" ht="16" thickBot="1" x14ac:dyDescent="0.4">
      <c r="B20" s="59" t="s">
        <v>117</v>
      </c>
    </row>
    <row r="21" spans="2:15" ht="60.5" thickBot="1" x14ac:dyDescent="0.5">
      <c r="B21" s="44" t="s">
        <v>103</v>
      </c>
      <c r="C21" s="60" t="s">
        <v>102</v>
      </c>
      <c r="D21" s="61" t="s">
        <v>101</v>
      </c>
      <c r="E21" s="61" t="s">
        <v>100</v>
      </c>
      <c r="F21" s="42" t="s">
        <v>99</v>
      </c>
      <c r="G21" s="62" t="s">
        <v>98</v>
      </c>
      <c r="H21" s="61" t="s">
        <v>97</v>
      </c>
      <c r="I21" s="61" t="s">
        <v>96</v>
      </c>
      <c r="J21" s="61" t="s">
        <v>95</v>
      </c>
      <c r="K21" s="61" t="s">
        <v>94</v>
      </c>
      <c r="L21" s="61" t="s">
        <v>93</v>
      </c>
      <c r="M21" s="61" t="s">
        <v>92</v>
      </c>
      <c r="N21" s="61" t="s">
        <v>91</v>
      </c>
      <c r="O21" s="60" t="s">
        <v>115</v>
      </c>
    </row>
    <row r="22" spans="2:15" ht="16.5" x14ac:dyDescent="0.35">
      <c r="B22" s="40" t="s">
        <v>90</v>
      </c>
      <c r="C22" s="63">
        <v>35</v>
      </c>
      <c r="D22" s="253">
        <v>1.6</v>
      </c>
      <c r="E22" s="254">
        <v>25</v>
      </c>
      <c r="F22" s="255">
        <v>5</v>
      </c>
      <c r="G22" s="64">
        <f t="shared" ref="G22:G30" si="0">+D22*E22*C22/100</f>
        <v>14</v>
      </c>
      <c r="H22" s="65">
        <f>+G22*F22/3.6</f>
        <v>19.444444444444443</v>
      </c>
      <c r="I22" s="66">
        <f>H22*$C$14</f>
        <v>26.769573077457935</v>
      </c>
      <c r="J22" s="66">
        <f>G22*1000/($C$11-$C$12)/9.81</f>
        <v>3036.4152948576138</v>
      </c>
      <c r="K22" s="65">
        <f t="shared" ref="K22:K30" si="1">+D22*F22/10</f>
        <v>0.8</v>
      </c>
      <c r="L22" s="65">
        <f>K22*$C$18</f>
        <v>0.72000000000000008</v>
      </c>
      <c r="M22" s="65">
        <f>I22*$C$15/$C$16</f>
        <v>9.6757493051052776</v>
      </c>
      <c r="N22" s="65">
        <f>+M22/L22</f>
        <v>13.438540701535107</v>
      </c>
      <c r="O22" s="67">
        <f>$C$17*N22</f>
        <v>40.181236697589974</v>
      </c>
    </row>
    <row r="23" spans="2:15" ht="16.5" x14ac:dyDescent="0.35">
      <c r="B23" s="40" t="s">
        <v>89</v>
      </c>
      <c r="C23" s="63">
        <v>50</v>
      </c>
      <c r="D23" s="182">
        <v>1.6</v>
      </c>
      <c r="E23" s="167">
        <v>25</v>
      </c>
      <c r="F23" s="256">
        <v>5</v>
      </c>
      <c r="G23" s="64">
        <f t="shared" si="0"/>
        <v>20</v>
      </c>
      <c r="H23" s="65">
        <f t="shared" ref="H23:H30" si="2">+G23*F23/3.6</f>
        <v>27.777777777777779</v>
      </c>
      <c r="I23" s="66">
        <f t="shared" ref="I23:I30" si="3">H23*$C$14</f>
        <v>38.242247253511337</v>
      </c>
      <c r="J23" s="66">
        <f t="shared" ref="J23:J30" si="4">G23*1000/($C$11-$C$12)/9.81</f>
        <v>4337.736135510876</v>
      </c>
      <c r="K23" s="65">
        <f t="shared" si="1"/>
        <v>0.8</v>
      </c>
      <c r="L23" s="65">
        <f t="shared" ref="L23:L30" si="5">K23*$C$18</f>
        <v>0.72000000000000008</v>
      </c>
      <c r="M23" s="65">
        <f>I23*$C$15/$C$16</f>
        <v>13.822499007293253</v>
      </c>
      <c r="N23" s="65">
        <f>+M23/L23</f>
        <v>19.197915287907293</v>
      </c>
      <c r="O23" s="67">
        <f t="shared" ref="O23:O30" si="6">$C$17*N23</f>
        <v>57.401766710842807</v>
      </c>
    </row>
    <row r="24" spans="2:15" ht="16.5" x14ac:dyDescent="0.35">
      <c r="B24" s="40" t="s">
        <v>88</v>
      </c>
      <c r="C24" s="63">
        <v>80</v>
      </c>
      <c r="D24" s="182">
        <v>1.6</v>
      </c>
      <c r="E24" s="167">
        <v>25</v>
      </c>
      <c r="F24" s="256">
        <v>5</v>
      </c>
      <c r="G24" s="64">
        <f t="shared" si="0"/>
        <v>32</v>
      </c>
      <c r="H24" s="65">
        <f t="shared" si="2"/>
        <v>44.444444444444443</v>
      </c>
      <c r="I24" s="66">
        <f t="shared" si="3"/>
        <v>61.187595605618135</v>
      </c>
      <c r="J24" s="66">
        <f t="shared" si="4"/>
        <v>6940.3778168174022</v>
      </c>
      <c r="K24" s="65">
        <f t="shared" si="1"/>
        <v>0.8</v>
      </c>
      <c r="L24" s="65">
        <f t="shared" si="5"/>
        <v>0.72000000000000008</v>
      </c>
      <c r="M24" s="65">
        <f t="shared" ref="M24:M30" si="7">I24*$C$15/$C$16</f>
        <v>22.115998411669207</v>
      </c>
      <c r="N24" s="65">
        <f>+M24/L24</f>
        <v>30.716664460651671</v>
      </c>
      <c r="O24" s="67">
        <f t="shared" si="6"/>
        <v>91.842826737348503</v>
      </c>
    </row>
    <row r="25" spans="2:15" ht="16.5" x14ac:dyDescent="0.35">
      <c r="B25" s="40" t="s">
        <v>118</v>
      </c>
      <c r="C25" s="63">
        <v>50</v>
      </c>
      <c r="D25" s="182">
        <v>4</v>
      </c>
      <c r="E25" s="167">
        <v>12</v>
      </c>
      <c r="F25" s="256">
        <v>7</v>
      </c>
      <c r="G25" s="64">
        <f t="shared" si="0"/>
        <v>24</v>
      </c>
      <c r="H25" s="65">
        <f t="shared" si="2"/>
        <v>46.666666666666664</v>
      </c>
      <c r="I25" s="66">
        <f t="shared" si="3"/>
        <v>64.246975385899034</v>
      </c>
      <c r="J25" s="66">
        <f t="shared" si="4"/>
        <v>5205.2833626130514</v>
      </c>
      <c r="K25" s="65">
        <f t="shared" si="1"/>
        <v>2.8</v>
      </c>
      <c r="L25" s="65">
        <f t="shared" si="5"/>
        <v>2.52</v>
      </c>
      <c r="M25" s="65">
        <f t="shared" si="7"/>
        <v>23.221798332252664</v>
      </c>
      <c r="N25" s="65">
        <f t="shared" ref="N25:N30" si="8">+M25/L25</f>
        <v>9.2149993381955024</v>
      </c>
      <c r="O25" s="67">
        <f t="shared" si="6"/>
        <v>27.552848021204554</v>
      </c>
    </row>
    <row r="26" spans="2:15" ht="16.5" x14ac:dyDescent="0.35">
      <c r="B26" s="40" t="s">
        <v>119</v>
      </c>
      <c r="C26" s="63">
        <v>60</v>
      </c>
      <c r="D26" s="182">
        <v>4</v>
      </c>
      <c r="E26" s="167">
        <v>12</v>
      </c>
      <c r="F26" s="256">
        <v>9</v>
      </c>
      <c r="G26" s="64">
        <f t="shared" si="0"/>
        <v>28.8</v>
      </c>
      <c r="H26" s="65">
        <f t="shared" si="2"/>
        <v>72</v>
      </c>
      <c r="I26" s="66">
        <f t="shared" si="3"/>
        <v>99.123904881101382</v>
      </c>
      <c r="J26" s="66">
        <f t="shared" si="4"/>
        <v>6246.3400351356622</v>
      </c>
      <c r="K26" s="65">
        <f t="shared" si="1"/>
        <v>3.6</v>
      </c>
      <c r="L26" s="65">
        <f t="shared" si="5"/>
        <v>3.24</v>
      </c>
      <c r="M26" s="65">
        <f t="shared" si="7"/>
        <v>35.827917426904115</v>
      </c>
      <c r="N26" s="65">
        <f t="shared" si="8"/>
        <v>11.057999205834603</v>
      </c>
      <c r="O26" s="67">
        <f t="shared" si="6"/>
        <v>33.063417625445467</v>
      </c>
    </row>
    <row r="27" spans="2:15" ht="16.5" x14ac:dyDescent="0.35">
      <c r="B27" s="40" t="s">
        <v>120</v>
      </c>
      <c r="C27" s="63">
        <v>70</v>
      </c>
      <c r="D27" s="182">
        <v>3</v>
      </c>
      <c r="E27" s="167">
        <v>12</v>
      </c>
      <c r="F27" s="256">
        <v>9</v>
      </c>
      <c r="G27" s="64">
        <f t="shared" si="0"/>
        <v>25.2</v>
      </c>
      <c r="H27" s="65">
        <f t="shared" si="2"/>
        <v>62.999999999999993</v>
      </c>
      <c r="I27" s="66">
        <f t="shared" si="3"/>
        <v>86.7334167709637</v>
      </c>
      <c r="J27" s="66">
        <f t="shared" si="4"/>
        <v>5465.5475307437046</v>
      </c>
      <c r="K27" s="65">
        <f t="shared" si="1"/>
        <v>2.7</v>
      </c>
      <c r="L27" s="65">
        <f t="shared" si="5"/>
        <v>2.4300000000000002</v>
      </c>
      <c r="M27" s="65">
        <f t="shared" si="7"/>
        <v>31.349427748541096</v>
      </c>
      <c r="N27" s="65">
        <f t="shared" si="8"/>
        <v>12.900999073473701</v>
      </c>
      <c r="O27" s="67">
        <f t="shared" si="6"/>
        <v>38.573987229686367</v>
      </c>
    </row>
    <row r="28" spans="2:15" ht="16.5" x14ac:dyDescent="0.35">
      <c r="B28" s="40" t="s">
        <v>121</v>
      </c>
      <c r="C28" s="63">
        <v>30</v>
      </c>
      <c r="D28" s="182">
        <v>5</v>
      </c>
      <c r="E28" s="167">
        <v>7</v>
      </c>
      <c r="F28" s="256">
        <v>9</v>
      </c>
      <c r="G28" s="64">
        <f t="shared" si="0"/>
        <v>10.5</v>
      </c>
      <c r="H28" s="65">
        <f t="shared" si="2"/>
        <v>26.25</v>
      </c>
      <c r="I28" s="66">
        <f t="shared" si="3"/>
        <v>36.13892365456821</v>
      </c>
      <c r="J28" s="66">
        <f t="shared" si="4"/>
        <v>2277.3114711432099</v>
      </c>
      <c r="K28" s="65">
        <f t="shared" si="1"/>
        <v>4.5</v>
      </c>
      <c r="L28" s="65">
        <f t="shared" si="5"/>
        <v>4.05</v>
      </c>
      <c r="M28" s="65">
        <f t="shared" si="7"/>
        <v>13.062261561892123</v>
      </c>
      <c r="N28" s="65">
        <f t="shared" si="8"/>
        <v>3.2252497683684256</v>
      </c>
      <c r="O28" s="67">
        <f t="shared" si="6"/>
        <v>9.6434968074215934</v>
      </c>
    </row>
    <row r="29" spans="2:15" ht="16.5" x14ac:dyDescent="0.35">
      <c r="B29" s="40" t="s">
        <v>122</v>
      </c>
      <c r="C29" s="63">
        <v>35</v>
      </c>
      <c r="D29" s="182">
        <v>5</v>
      </c>
      <c r="E29" s="167">
        <v>7</v>
      </c>
      <c r="F29" s="256">
        <v>9</v>
      </c>
      <c r="G29" s="64">
        <f t="shared" si="0"/>
        <v>12.25</v>
      </c>
      <c r="H29" s="65">
        <f t="shared" si="2"/>
        <v>30.625</v>
      </c>
      <c r="I29" s="66">
        <f t="shared" si="3"/>
        <v>42.162077596996248</v>
      </c>
      <c r="J29" s="66">
        <f t="shared" si="4"/>
        <v>2656.8633830004119</v>
      </c>
      <c r="K29" s="65">
        <f t="shared" si="1"/>
        <v>4.5</v>
      </c>
      <c r="L29" s="65">
        <f t="shared" si="5"/>
        <v>4.05</v>
      </c>
      <c r="M29" s="65">
        <f t="shared" si="7"/>
        <v>15.239305155540812</v>
      </c>
      <c r="N29" s="65">
        <f t="shared" si="8"/>
        <v>3.7627913964298303</v>
      </c>
      <c r="O29" s="67">
        <f t="shared" si="6"/>
        <v>11.250746275325193</v>
      </c>
    </row>
    <row r="30" spans="2:15" ht="17" thickBot="1" x14ac:dyDescent="0.4">
      <c r="B30" s="38" t="s">
        <v>123</v>
      </c>
      <c r="C30" s="68">
        <v>40</v>
      </c>
      <c r="D30" s="257">
        <v>4</v>
      </c>
      <c r="E30" s="187">
        <v>7</v>
      </c>
      <c r="F30" s="258">
        <v>9</v>
      </c>
      <c r="G30" s="69">
        <f t="shared" si="0"/>
        <v>11.2</v>
      </c>
      <c r="H30" s="70">
        <f t="shared" si="2"/>
        <v>28</v>
      </c>
      <c r="I30" s="71">
        <f t="shared" si="3"/>
        <v>38.548185231539428</v>
      </c>
      <c r="J30" s="71">
        <f t="shared" si="4"/>
        <v>2429.1322358860907</v>
      </c>
      <c r="K30" s="70">
        <f t="shared" si="1"/>
        <v>3.6</v>
      </c>
      <c r="L30" s="70">
        <f t="shared" si="5"/>
        <v>3.24</v>
      </c>
      <c r="M30" s="70">
        <f t="shared" si="7"/>
        <v>13.933078999351601</v>
      </c>
      <c r="N30" s="70">
        <f t="shared" si="8"/>
        <v>4.3003330244912341</v>
      </c>
      <c r="O30" s="72">
        <f t="shared" si="6"/>
        <v>12.857995743228791</v>
      </c>
    </row>
    <row r="31" spans="2:15" x14ac:dyDescent="0.35">
      <c r="B31" s="37" t="s">
        <v>124</v>
      </c>
    </row>
  </sheetData>
  <sheetProtection algorithmName="SHA-512" hashValue="pjvEDD8mlijtXKsKe5SzX4C62K/ml5Ah1TCKW1NI+MAaS45QcbJGGVLEu+K24FDs0YdhH93VMYMHynU7JEuf3A==" saltValue="2TuyCScNejV2Ynrqi5jLcg==" spinCount="100000" sheet="1" objects="1" scenarios="1"/>
  <mergeCells count="1">
    <mergeCell ref="B2:L7"/>
  </mergeCells>
  <dataValidations count="6">
    <dataValidation allowBlank="1" showInputMessage="1" showErrorMessage="1" prompt="Tilastokeskun tarkistaa luokituksia säännöllisesti" sqref="C17" xr:uid="{BE9A3355-60AC-4FFE-ACBC-7DC5F14EE4CA}"/>
    <dataValidation type="decimal" allowBlank="1" showInputMessage="1" showErrorMessage="1" prompt="Talvilaadun tiheys on useimmiten 820 ja kesälaadun 830 " sqref="C16" xr:uid="{6F003C9E-B5FF-4F47-9381-D55DF477EE35}">
      <formula1>820</formula1>
      <formula2>840</formula2>
    </dataValidation>
    <dataValidation type="whole" allowBlank="1" showInputMessage="1" showErrorMessage="1" error="Polttoaineen kulutus on normaalisti 250 - 350 g/kWh " prompt="Täysin kuormitetun moottorin ominaiskulutus on 250 - 280 g/kWh. Osakuormalla kulutus on luokkaa 300 - 350 g/kWh" sqref="C15" xr:uid="{4829ED18-DDEC-4C97-90B5-B830EEF48AC9}">
      <formula1>250</formula1>
      <formula2>350</formula2>
    </dataValidation>
    <dataValidation type="decimal" allowBlank="1" showInputMessage="1" showErrorMessage="1" error="Anna lukema väliltä 0,05 - 0,1" prompt="Kovan pellon vierimisvastuskerroin on luokkaa 0,07 ja pehmeän 0,1" sqref="C12" xr:uid="{B9869A51-1B14-4334-9088-43F63A199541}">
      <formula1>0.05</formula1>
      <formula2>0.1</formula2>
    </dataValidation>
    <dataValidation type="decimal" allowBlank="1" showInputMessage="1" showErrorMessage="1" prompt="Oheisessa kuvassa on kertoimen arvoja. 500 on pehmeä pelto, 700 normaali muokattu pelto ja 1400 kuiva ja kantava pelto. Valitse arvo kuvasta luisto ja kerroin." sqref="C11" xr:uid="{D84BBE4C-E03F-4984-B420-A806D020A6CF}">
      <formula1>0.2</formula1>
      <formula2>0.7</formula2>
    </dataValidation>
    <dataValidation type="whole" allowBlank="1" showInputMessage="1" showErrorMessage="1" prompt="Veto on tehoikkaimmillaan 10 - 15% luistolla" sqref="C13" xr:uid="{6491FFDA-CE70-4DC8-B4EF-5A9F662ED8B5}">
      <formula1>5</formula1>
      <formula2>20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47"/>
  <sheetViews>
    <sheetView topLeftCell="A22" workbookViewId="0">
      <selection activeCell="T64" sqref="T64"/>
    </sheetView>
  </sheetViews>
  <sheetFormatPr defaultRowHeight="12.5" x14ac:dyDescent="0.25"/>
  <cols>
    <col min="1" max="1" width="19.1796875" bestFit="1" customWidth="1"/>
    <col min="2" max="2" width="27.54296875" bestFit="1" customWidth="1"/>
    <col min="3" max="3" width="11" customWidth="1"/>
    <col min="4" max="4" width="13.26953125" bestFit="1" customWidth="1"/>
    <col min="5" max="5" width="13" customWidth="1"/>
    <col min="6" max="6" width="13.26953125" customWidth="1"/>
    <col min="9" max="9" width="15.26953125" bestFit="1" customWidth="1"/>
    <col min="10" max="10" width="10.26953125" bestFit="1" customWidth="1"/>
    <col min="11" max="11" width="13.26953125" hidden="1" customWidth="1"/>
    <col min="12" max="12" width="13.7265625" hidden="1" customWidth="1"/>
    <col min="13" max="13" width="12.7265625" hidden="1" customWidth="1"/>
    <col min="14" max="17" width="0" hidden="1" customWidth="1"/>
  </cols>
  <sheetData>
    <row r="1" spans="1:14" ht="13" x14ac:dyDescent="0.3">
      <c r="A1" s="2" t="s">
        <v>428</v>
      </c>
    </row>
    <row r="3" spans="1:14" ht="12.75" customHeight="1" x14ac:dyDescent="0.25">
      <c r="A3" s="228" t="s">
        <v>148</v>
      </c>
      <c r="B3" s="228"/>
      <c r="C3" s="228"/>
      <c r="D3" s="228"/>
      <c r="E3" s="228"/>
      <c r="F3" s="228"/>
      <c r="G3" s="228"/>
      <c r="H3" s="228"/>
      <c r="I3" s="228"/>
      <c r="J3" s="228"/>
    </row>
    <row r="4" spans="1:14" ht="12.75" customHeight="1" x14ac:dyDescent="0.25">
      <c r="A4" s="228"/>
      <c r="B4" s="228"/>
      <c r="C4" s="228"/>
      <c r="D4" s="228"/>
      <c r="E4" s="228"/>
      <c r="F4" s="228"/>
      <c r="G4" s="228"/>
      <c r="H4" s="228"/>
      <c r="I4" s="228"/>
      <c r="J4" s="228"/>
    </row>
    <row r="5" spans="1:14" ht="12.75" customHeight="1" x14ac:dyDescent="0.25">
      <c r="A5" s="228"/>
      <c r="B5" s="228"/>
      <c r="C5" s="228"/>
      <c r="D5" s="228"/>
      <c r="E5" s="228"/>
      <c r="F5" s="228"/>
      <c r="G5" s="228"/>
      <c r="H5" s="228"/>
      <c r="I5" s="228"/>
      <c r="J5" s="228"/>
    </row>
    <row r="6" spans="1:14" ht="12.75" customHeight="1" x14ac:dyDescent="0.25">
      <c r="A6" s="228"/>
      <c r="B6" s="228"/>
      <c r="C6" s="228"/>
      <c r="D6" s="228"/>
      <c r="E6" s="228"/>
      <c r="F6" s="228"/>
      <c r="G6" s="228"/>
      <c r="H6" s="228"/>
      <c r="I6" s="228"/>
      <c r="J6" s="228"/>
    </row>
    <row r="11" spans="1:14" ht="38" x14ac:dyDescent="0.3">
      <c r="A11" s="26" t="s">
        <v>85</v>
      </c>
      <c r="B11" s="31" t="s">
        <v>70</v>
      </c>
      <c r="C11" s="32" t="s">
        <v>81</v>
      </c>
      <c r="D11" s="31" t="s">
        <v>82</v>
      </c>
      <c r="E11" s="32" t="s">
        <v>83</v>
      </c>
      <c r="F11" s="32" t="s">
        <v>84</v>
      </c>
    </row>
    <row r="12" spans="1:14" x14ac:dyDescent="0.25">
      <c r="A12" s="27"/>
      <c r="B12" s="28" t="s">
        <v>71</v>
      </c>
      <c r="C12" s="29" t="s">
        <v>72</v>
      </c>
      <c r="D12" s="29" t="s">
        <v>73</v>
      </c>
      <c r="E12" s="30" t="s">
        <v>87</v>
      </c>
      <c r="F12" s="30">
        <v>1600</v>
      </c>
    </row>
    <row r="13" spans="1:14" x14ac:dyDescent="0.25">
      <c r="A13" s="27"/>
      <c r="B13" s="28" t="s">
        <v>74</v>
      </c>
      <c r="C13" s="29" t="s">
        <v>75</v>
      </c>
      <c r="D13" s="29" t="s">
        <v>73</v>
      </c>
      <c r="E13" s="30" t="s">
        <v>76</v>
      </c>
      <c r="F13" s="30">
        <v>1300</v>
      </c>
      <c r="G13" s="1"/>
      <c r="H13" s="1"/>
      <c r="I13" s="1"/>
      <c r="J13" s="1"/>
      <c r="K13" s="1"/>
      <c r="L13" s="1"/>
      <c r="M13" s="1"/>
      <c r="N13" s="1"/>
    </row>
    <row r="14" spans="1:14" x14ac:dyDescent="0.25">
      <c r="A14" s="27"/>
      <c r="B14" s="27" t="s">
        <v>77</v>
      </c>
      <c r="C14" s="29" t="s">
        <v>78</v>
      </c>
      <c r="D14" s="29" t="s">
        <v>79</v>
      </c>
      <c r="E14" s="30" t="s">
        <v>80</v>
      </c>
      <c r="F14" s="30">
        <v>1500</v>
      </c>
      <c r="G14" s="1"/>
      <c r="H14" s="1"/>
      <c r="I14" s="1"/>
      <c r="J14" s="1"/>
      <c r="K14" s="1"/>
      <c r="L14" s="1"/>
      <c r="M14" s="1"/>
      <c r="N14" s="1"/>
    </row>
    <row r="15" spans="1:14" x14ac:dyDescent="0.25">
      <c r="G15" s="1"/>
      <c r="H15" s="1"/>
      <c r="I15" s="1"/>
      <c r="J15" s="1"/>
      <c r="K15" s="1"/>
      <c r="L15" s="1"/>
      <c r="M15" s="1"/>
      <c r="N15" s="1"/>
    </row>
    <row r="17" spans="1:18" ht="13" x14ac:dyDescent="0.3">
      <c r="A17" s="8" t="s">
        <v>36</v>
      </c>
      <c r="B17" s="9" t="s">
        <v>0</v>
      </c>
      <c r="C17" s="13" t="s">
        <v>1</v>
      </c>
      <c r="D17" s="33">
        <v>25</v>
      </c>
      <c r="E17" s="13" t="s">
        <v>2</v>
      </c>
      <c r="F17" s="14">
        <f>+D17*3.14159/180</f>
        <v>0.43633194444444445</v>
      </c>
      <c r="G17" s="15" t="s">
        <v>3</v>
      </c>
      <c r="L17" s="7" t="s">
        <v>25</v>
      </c>
      <c r="M17" s="7">
        <f>D25</f>
        <v>50</v>
      </c>
      <c r="N17" s="7"/>
      <c r="O17" s="7"/>
      <c r="P17" s="7"/>
      <c r="Q17" s="7"/>
      <c r="R17" s="7"/>
    </row>
    <row r="18" spans="1:18" ht="13" x14ac:dyDescent="0.3">
      <c r="A18" s="10"/>
      <c r="B18" t="s">
        <v>17</v>
      </c>
      <c r="C18" s="5" t="s">
        <v>18</v>
      </c>
      <c r="D18" s="33">
        <v>0.4</v>
      </c>
      <c r="G18" s="16"/>
      <c r="L18" s="5" t="s">
        <v>26</v>
      </c>
      <c r="M18" s="4">
        <f t="shared" ref="M18" si="0">+RADIANS(M17)</f>
        <v>0.87266462599716477</v>
      </c>
      <c r="N18" s="4"/>
      <c r="O18" s="4"/>
      <c r="P18" s="4"/>
      <c r="Q18" s="4"/>
      <c r="R18" s="4"/>
    </row>
    <row r="19" spans="1:18" x14ac:dyDescent="0.25">
      <c r="A19" s="10"/>
      <c r="B19" t="s">
        <v>86</v>
      </c>
      <c r="C19" s="5" t="s">
        <v>69</v>
      </c>
      <c r="D19" s="33">
        <v>1300</v>
      </c>
      <c r="E19" t="s">
        <v>12</v>
      </c>
      <c r="G19" s="16"/>
      <c r="L19" t="s">
        <v>27</v>
      </c>
      <c r="M19" s="4">
        <f>+$F$22*(SIN(M17*3.14/180+$P$29))/SIN($P$29)</f>
        <v>0.129159109844905</v>
      </c>
      <c r="N19" s="4"/>
      <c r="O19" s="4"/>
      <c r="P19" s="4"/>
      <c r="Q19" s="4"/>
      <c r="R19" s="4"/>
    </row>
    <row r="20" spans="1:18" x14ac:dyDescent="0.25">
      <c r="A20" s="11"/>
      <c r="B20" s="12" t="s">
        <v>13</v>
      </c>
      <c r="C20" s="17" t="s">
        <v>14</v>
      </c>
      <c r="D20" s="33">
        <v>75</v>
      </c>
      <c r="E20" s="12" t="s">
        <v>15</v>
      </c>
      <c r="F20" s="12">
        <f>+D20*1000</f>
        <v>75000</v>
      </c>
      <c r="G20" s="18" t="s">
        <v>16</v>
      </c>
      <c r="L20" t="s">
        <v>28</v>
      </c>
      <c r="M20" s="4">
        <f>+$F$22*COS(M17*3.14/180+$P$29)/SIN($P$29)</f>
        <v>1.7062316607917117E-2</v>
      </c>
      <c r="N20" s="4"/>
      <c r="O20" s="4"/>
      <c r="P20" s="4"/>
      <c r="Q20" s="4"/>
      <c r="R20" s="4"/>
    </row>
    <row r="21" spans="1:18" x14ac:dyDescent="0.25">
      <c r="L21" t="s">
        <v>29</v>
      </c>
      <c r="M21" s="4">
        <f t="shared" ref="M21" si="1">+M19*TAN(M18)</f>
        <v>0.15392583317393574</v>
      </c>
      <c r="N21" s="4"/>
      <c r="O21" s="4"/>
      <c r="P21" s="4"/>
      <c r="Q21" s="4"/>
      <c r="R21" s="4"/>
    </row>
    <row r="22" spans="1:18" ht="13" x14ac:dyDescent="0.3">
      <c r="A22" s="8" t="s">
        <v>37</v>
      </c>
      <c r="B22" s="9" t="s">
        <v>4</v>
      </c>
      <c r="C22" s="19" t="s">
        <v>5</v>
      </c>
      <c r="D22" s="33">
        <v>7</v>
      </c>
      <c r="E22" s="9" t="s">
        <v>6</v>
      </c>
      <c r="F22" s="9">
        <f>+D22/100</f>
        <v>7.0000000000000007E-2</v>
      </c>
      <c r="G22" s="15" t="s">
        <v>7</v>
      </c>
      <c r="L22" t="s">
        <v>30</v>
      </c>
      <c r="M22" s="6">
        <f>+$D$19*M19*$F$23*($F$24+(M20+M21)/2)</f>
        <v>1.8502936129837977</v>
      </c>
      <c r="N22" s="6"/>
      <c r="O22" s="6"/>
      <c r="P22" s="6"/>
      <c r="Q22" s="6"/>
      <c r="R22" s="6"/>
    </row>
    <row r="23" spans="1:18" x14ac:dyDescent="0.25">
      <c r="A23" s="10"/>
      <c r="B23" t="s">
        <v>8</v>
      </c>
      <c r="C23" s="5" t="s">
        <v>9</v>
      </c>
      <c r="D23" s="33">
        <v>4</v>
      </c>
      <c r="E23" t="s">
        <v>6</v>
      </c>
      <c r="F23">
        <f>+D23/100</f>
        <v>0.04</v>
      </c>
      <c r="G23" s="16" t="s">
        <v>7</v>
      </c>
      <c r="L23" t="s">
        <v>31</v>
      </c>
      <c r="M23" s="6">
        <f>+(COS($P$29)-TAN($F$17)*SIN($P$29))/(SIN($P$29)+TAN($F$17)*COS($P$29))+(COS(M17*3.14/180)-$D$18*SIN(M17*3.14/180))/(SIN(M17*3.14/180)+$D$18*COS(M17*3.14/180))</f>
        <v>0.96631775472098802</v>
      </c>
      <c r="N23" s="6"/>
      <c r="O23" s="6"/>
      <c r="P23" s="6"/>
      <c r="Q23" s="6"/>
      <c r="R23" s="6"/>
    </row>
    <row r="24" spans="1:18" x14ac:dyDescent="0.25">
      <c r="A24" s="10"/>
      <c r="B24" t="s">
        <v>10</v>
      </c>
      <c r="C24" s="5" t="s">
        <v>11</v>
      </c>
      <c r="D24" s="33">
        <v>19</v>
      </c>
      <c r="E24" t="s">
        <v>6</v>
      </c>
      <c r="F24">
        <f>+D24/100</f>
        <v>0.19</v>
      </c>
      <c r="G24" s="16" t="s">
        <v>7</v>
      </c>
      <c r="L24" t="s">
        <v>32</v>
      </c>
      <c r="M24" s="6">
        <f>+$F$20*$F$23*$F$22/(SIN($P$29))</f>
        <v>390.84368324895996</v>
      </c>
      <c r="N24" s="6"/>
      <c r="O24" s="6"/>
      <c r="P24" s="6"/>
      <c r="Q24" s="6"/>
      <c r="R24" s="6"/>
    </row>
    <row r="25" spans="1:18" ht="13" x14ac:dyDescent="0.3">
      <c r="A25" s="11"/>
      <c r="B25" s="12" t="s">
        <v>38</v>
      </c>
      <c r="C25" s="20" t="s">
        <v>39</v>
      </c>
      <c r="D25" s="33">
        <v>50</v>
      </c>
      <c r="E25" s="20" t="s">
        <v>2</v>
      </c>
      <c r="F25" s="21">
        <f>RADIANS(D25)</f>
        <v>0.87266462599716477</v>
      </c>
      <c r="G25" s="18" t="s">
        <v>3</v>
      </c>
      <c r="L25" t="s">
        <v>33</v>
      </c>
      <c r="M25" s="6">
        <f>+$D$19*$F$23*$F$22*$F$27^2*SIN(M18)/(SIN(M18+$P$29))</f>
        <v>7.8123971092685514</v>
      </c>
      <c r="N25" s="6"/>
      <c r="O25" s="6"/>
      <c r="P25" s="6"/>
      <c r="Q25" s="6"/>
      <c r="R25" s="6"/>
    </row>
    <row r="26" spans="1:18" ht="13" x14ac:dyDescent="0.3">
      <c r="A26" s="2"/>
      <c r="L26" t="s">
        <v>34</v>
      </c>
      <c r="M26" s="6">
        <f>+M22*9.81/M23+(M25+M24)/(M23*(SIN($P$29)+TAN($F$17)*COS($P$29)))</f>
        <v>462.11217253817745</v>
      </c>
      <c r="N26" s="6"/>
      <c r="O26" s="6"/>
      <c r="P26" s="6"/>
      <c r="Q26" s="6"/>
      <c r="R26" s="6"/>
    </row>
    <row r="27" spans="1:18" ht="13" x14ac:dyDescent="0.3">
      <c r="A27" s="8" t="s">
        <v>40</v>
      </c>
      <c r="B27" s="9" t="s">
        <v>19</v>
      </c>
      <c r="C27" s="19" t="s">
        <v>20</v>
      </c>
      <c r="D27" s="33">
        <v>6</v>
      </c>
      <c r="E27" s="9" t="s">
        <v>21</v>
      </c>
      <c r="F27" s="22">
        <f>+D27/3.6</f>
        <v>1.6666666666666665</v>
      </c>
      <c r="G27" s="15" t="s">
        <v>22</v>
      </c>
      <c r="L27" t="s">
        <v>35</v>
      </c>
      <c r="M27" s="6">
        <f>+M26*(COS(M18)-$D$18*SIN(M17*3.14/180))/(SIN(M17*3.14/180)+$D$18*COS(M17*3.14/180))</f>
        <v>151.99566480900125</v>
      </c>
      <c r="N27" s="6"/>
      <c r="O27" s="6"/>
      <c r="P27" s="6"/>
      <c r="Q27" s="6"/>
      <c r="R27" s="6"/>
    </row>
    <row r="28" spans="1:18" x14ac:dyDescent="0.25">
      <c r="A28" s="10"/>
      <c r="B28" t="s">
        <v>41</v>
      </c>
      <c r="C28" t="s">
        <v>42</v>
      </c>
      <c r="D28" s="33">
        <v>70</v>
      </c>
      <c r="E28" t="s">
        <v>43</v>
      </c>
      <c r="G28" s="16"/>
    </row>
    <row r="29" spans="1:18" ht="13" x14ac:dyDescent="0.3">
      <c r="A29" s="10"/>
      <c r="B29" t="s">
        <v>44</v>
      </c>
      <c r="C29" t="s">
        <v>45</v>
      </c>
      <c r="D29" s="33">
        <v>8</v>
      </c>
      <c r="E29" t="s">
        <v>6</v>
      </c>
      <c r="G29" s="16"/>
      <c r="K29" s="4"/>
      <c r="L29" t="s">
        <v>23</v>
      </c>
      <c r="M29" s="3" t="s">
        <v>24</v>
      </c>
      <c r="N29">
        <f>+(90-D17)/2</f>
        <v>32.5</v>
      </c>
      <c r="O29" s="3" t="s">
        <v>2</v>
      </c>
      <c r="P29" s="4">
        <f>+N29*3.14159/180</f>
        <v>0.56723152777777774</v>
      </c>
      <c r="Q29" t="s">
        <v>3</v>
      </c>
    </row>
    <row r="30" spans="1:18" x14ac:dyDescent="0.25">
      <c r="A30" s="10"/>
      <c r="B30" t="s">
        <v>52</v>
      </c>
      <c r="C30" t="s">
        <v>53</v>
      </c>
      <c r="D30" s="33">
        <v>0.2</v>
      </c>
      <c r="G30" s="16"/>
      <c r="K30" s="4"/>
      <c r="L30" s="4"/>
    </row>
    <row r="31" spans="1:18" ht="15.5" x14ac:dyDescent="0.4">
      <c r="A31" s="11"/>
      <c r="B31" s="12" t="s">
        <v>54</v>
      </c>
      <c r="C31" s="12" t="s">
        <v>55</v>
      </c>
      <c r="D31" s="33">
        <v>4500</v>
      </c>
      <c r="E31" s="12" t="s">
        <v>56</v>
      </c>
      <c r="F31" s="12"/>
      <c r="G31" s="18"/>
      <c r="K31" s="4"/>
      <c r="L31" s="4"/>
    </row>
    <row r="32" spans="1:18" x14ac:dyDescent="0.25">
      <c r="K32" s="4"/>
      <c r="L32" s="4"/>
    </row>
    <row r="33" spans="1:12" ht="15.5" x14ac:dyDescent="0.4">
      <c r="A33" s="8" t="s">
        <v>46</v>
      </c>
      <c r="B33" s="9" t="s">
        <v>47</v>
      </c>
      <c r="C33" s="9" t="s">
        <v>48</v>
      </c>
      <c r="D33" s="23">
        <f>M27</f>
        <v>151.99566480900125</v>
      </c>
      <c r="E33" s="15" t="s">
        <v>49</v>
      </c>
      <c r="K33" s="6"/>
      <c r="L33" s="6"/>
    </row>
    <row r="34" spans="1:12" ht="15.5" x14ac:dyDescent="0.4">
      <c r="A34" s="11"/>
      <c r="B34" s="12" t="s">
        <v>50</v>
      </c>
      <c r="C34" s="12" t="s">
        <v>51</v>
      </c>
      <c r="D34" s="24">
        <f>M26</f>
        <v>462.11217253817745</v>
      </c>
      <c r="E34" s="18" t="s">
        <v>49</v>
      </c>
      <c r="K34" s="6"/>
      <c r="L34" s="6"/>
    </row>
    <row r="35" spans="1:12" x14ac:dyDescent="0.25">
      <c r="K35" s="6"/>
      <c r="L35" s="6"/>
    </row>
    <row r="36" spans="1:12" ht="13" x14ac:dyDescent="0.3">
      <c r="A36" s="8" t="s">
        <v>57</v>
      </c>
      <c r="B36" s="9" t="s">
        <v>443</v>
      </c>
      <c r="C36" s="9"/>
      <c r="D36" s="23">
        <f>D28*D34/1000</f>
        <v>32.347852077672421</v>
      </c>
      <c r="E36" s="15" t="s">
        <v>58</v>
      </c>
      <c r="K36" s="6"/>
      <c r="L36" s="6"/>
    </row>
    <row r="37" spans="1:12" x14ac:dyDescent="0.25">
      <c r="A37" s="10"/>
      <c r="B37" t="s">
        <v>444</v>
      </c>
      <c r="D37" s="25">
        <f>(D31*9.81/1000+D28*D33/1000)</f>
        <v>54.784696536630094</v>
      </c>
      <c r="E37" s="16" t="s">
        <v>58</v>
      </c>
      <c r="K37" s="6"/>
      <c r="L37" s="6"/>
    </row>
    <row r="38" spans="1:12" x14ac:dyDescent="0.25">
      <c r="A38" s="10"/>
      <c r="B38" t="s">
        <v>445</v>
      </c>
      <c r="D38" s="25">
        <f>D30*D37</f>
        <v>10.956939307326019</v>
      </c>
      <c r="E38" s="16" t="s">
        <v>58</v>
      </c>
      <c r="K38" s="6"/>
      <c r="L38" s="6"/>
    </row>
    <row r="39" spans="1:12" x14ac:dyDescent="0.25">
      <c r="A39" s="11"/>
      <c r="B39" s="12" t="s">
        <v>59</v>
      </c>
      <c r="C39" s="12"/>
      <c r="D39" s="24">
        <f>D36+D38</f>
        <v>43.304791384998438</v>
      </c>
      <c r="E39" s="18" t="s">
        <v>58</v>
      </c>
    </row>
    <row r="41" spans="1:12" ht="13" x14ac:dyDescent="0.3">
      <c r="A41" s="8" t="s">
        <v>60</v>
      </c>
      <c r="B41" s="9" t="s">
        <v>66</v>
      </c>
      <c r="C41" s="13" t="s">
        <v>18</v>
      </c>
      <c r="D41" s="33">
        <v>0.55000000000000004</v>
      </c>
      <c r="E41" s="15"/>
    </row>
    <row r="42" spans="1:12" x14ac:dyDescent="0.25">
      <c r="A42" s="10"/>
      <c r="B42" t="s">
        <v>68</v>
      </c>
      <c r="C42" t="s">
        <v>45</v>
      </c>
      <c r="D42" s="34">
        <v>0.15</v>
      </c>
      <c r="E42" s="16"/>
    </row>
    <row r="43" spans="1:12" x14ac:dyDescent="0.25">
      <c r="A43" s="10"/>
      <c r="B43" t="s">
        <v>67</v>
      </c>
      <c r="C43" t="s">
        <v>53</v>
      </c>
      <c r="D43" s="33">
        <v>0.09</v>
      </c>
      <c r="E43" s="16"/>
    </row>
    <row r="44" spans="1:12" x14ac:dyDescent="0.25">
      <c r="A44" s="10"/>
      <c r="B44" t="s">
        <v>63</v>
      </c>
      <c r="D44" s="6">
        <f>1/((1-s)*(1-f/μ))</f>
        <v>1.4066496163682864</v>
      </c>
      <c r="E44" s="16"/>
    </row>
    <row r="45" spans="1:12" x14ac:dyDescent="0.25">
      <c r="A45" s="10"/>
      <c r="B45" t="s">
        <v>61</v>
      </c>
      <c r="D45" s="25">
        <f>D39*F27</f>
        <v>72.174652308330721</v>
      </c>
      <c r="E45" s="16" t="s">
        <v>62</v>
      </c>
    </row>
    <row r="46" spans="1:12" x14ac:dyDescent="0.25">
      <c r="A46" s="10"/>
      <c r="B46" t="s">
        <v>64</v>
      </c>
      <c r="D46" s="25">
        <f>D44*D45</f>
        <v>101.52444698102786</v>
      </c>
      <c r="E46" s="16" t="s">
        <v>62</v>
      </c>
    </row>
    <row r="47" spans="1:12" x14ac:dyDescent="0.25">
      <c r="A47" s="11"/>
      <c r="B47" s="12" t="s">
        <v>65</v>
      </c>
      <c r="C47" s="12"/>
      <c r="D47" s="24">
        <f>D39*1000/9.81/(μ-f)</f>
        <v>9596.4170068249841</v>
      </c>
      <c r="E47" s="18" t="s">
        <v>56</v>
      </c>
    </row>
  </sheetData>
  <sheetProtection algorithmName="SHA-512" hashValue="xVurHh8nAfdJcDNXCU5nLNywjVwWO/cZdwBhopX0HVLz/LmBU5aVaJEiZjnCRt9tHYpCwufcdlI44+I5vNL1Lw==" saltValue="3Apn5Iy4ptz5QRqV17/fAQ==" spinCount="100000" sheet="1" objects="1" scenarios="1"/>
  <mergeCells count="1">
    <mergeCell ref="A3:J6"/>
  </mergeCells>
  <dataValidations count="4">
    <dataValidation type="decimal" allowBlank="1" showInputMessage="1" showErrorMessage="1" prompt="Pyörien kerroin on 0,1 - 0,2, jyrien 0,4 - 0,6. Kukin niistä kantaa osan painosta. Tässä annetaan arvio kokonaiskertoimesta." sqref="D30" xr:uid="{62E8CA29-2B28-4602-872E-FC69B80F3D37}">
      <formula1>0.05</formula1>
      <formula2>0.6</formula2>
    </dataValidation>
    <dataValidation type="decimal" allowBlank="1" showInputMessage="1" showErrorMessage="1" prompt="Oheisessa kuvassa on arvoja. 500 on pehmeä pelto, 700 normaali muokattu pelto ja 1400 kuiva ja kantava pelto. Valitse arvo kuvasta luiston mukaan." sqref="D41" xr:uid="{0EBD8CEA-1E49-4325-AD2D-85CCF9572E98}">
      <formula1>0.3</formula1>
      <formula2>0.7</formula2>
    </dataValidation>
    <dataValidation type="whole" allowBlank="1" showInputMessage="1" showErrorMessage="1" prompt="Veto on tehoikkaimmillaan 10 - 15% luistolla" sqref="D42" xr:uid="{A38DDC16-1B70-431A-A9E3-DF3BA95C0E09}">
      <formula1>5</formula1>
      <formula2>20</formula2>
    </dataValidation>
    <dataValidation type="decimal" allowBlank="1" showInputMessage="1" showErrorMessage="1" prompt="Pehmeän pellon f on 0,1, muokatun 0,09 ja kovan  0,07" sqref="D43" xr:uid="{EAB3904B-E804-458A-9BD9-631B11AAC8A9}">
      <formula1>0.05</formula1>
      <formula2>0.2</formula2>
    </dataValidation>
  </dataValidations>
  <pageMargins left="0.75" right="0.75" top="1" bottom="1" header="0.4921259845" footer="0.4921259845"/>
  <headerFooter alignWithMargins="0"/>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AB71D-BC3A-4F92-93B7-B69A451A5A9D}">
  <sheetPr codeName="Sheet13"/>
  <dimension ref="A1:T35"/>
  <sheetViews>
    <sheetView topLeftCell="A24" workbookViewId="0">
      <selection activeCell="S20" sqref="S20"/>
    </sheetView>
  </sheetViews>
  <sheetFormatPr defaultColWidth="9.1796875" defaultRowHeight="14.5" x14ac:dyDescent="0.35"/>
  <cols>
    <col min="1" max="1" width="9.1796875" style="35"/>
    <col min="2" max="2" width="41.81640625" style="35" bestFit="1" customWidth="1"/>
    <col min="3" max="3" width="9.81640625" style="35" customWidth="1"/>
    <col min="4" max="4" width="9.54296875" style="35" customWidth="1"/>
    <col min="5" max="5" width="8.81640625" style="35" bestFit="1" customWidth="1"/>
    <col min="6" max="6" width="13.1796875" style="35" customWidth="1"/>
    <col min="7" max="7" width="13.81640625" style="35" customWidth="1"/>
    <col min="8" max="8" width="10.1796875" style="35" customWidth="1"/>
    <col min="9" max="9" width="11.26953125" style="35" customWidth="1"/>
    <col min="10" max="10" width="10.26953125" style="35" customWidth="1"/>
    <col min="11" max="11" width="8.453125" style="35" customWidth="1"/>
    <col min="12" max="12" width="10.54296875" style="35" customWidth="1"/>
    <col min="13" max="13" width="12.54296875" style="35" customWidth="1"/>
    <col min="14" max="14" width="11.453125" style="35" customWidth="1"/>
    <col min="15" max="15" width="17.54296875" style="35" customWidth="1"/>
    <col min="16" max="16" width="11.7265625" style="35" customWidth="1"/>
    <col min="17" max="17" width="15.1796875" style="35" customWidth="1"/>
    <col min="18" max="18" width="13.1796875" style="35" customWidth="1"/>
    <col min="19" max="19" width="13.26953125" style="35" customWidth="1"/>
    <col min="20" max="20" width="12.81640625" style="35" customWidth="1"/>
    <col min="21" max="21" width="12.26953125" style="35" customWidth="1"/>
    <col min="22" max="16384" width="9.1796875" style="35"/>
  </cols>
  <sheetData>
    <row r="1" spans="1:13" x14ac:dyDescent="0.35">
      <c r="A1" s="45" t="s">
        <v>427</v>
      </c>
    </row>
    <row r="2" spans="1:13" ht="14.5" customHeight="1" x14ac:dyDescent="0.35">
      <c r="B2" s="259" t="s">
        <v>149</v>
      </c>
      <c r="C2" s="259"/>
      <c r="D2" s="259"/>
      <c r="E2" s="259"/>
      <c r="F2" s="259"/>
      <c r="G2" s="259"/>
      <c r="H2" s="259"/>
      <c r="I2" s="259"/>
      <c r="J2" s="259"/>
      <c r="K2" s="259"/>
      <c r="L2" s="259"/>
      <c r="M2" s="49"/>
    </row>
    <row r="3" spans="1:13" ht="14.5" customHeight="1" x14ac:dyDescent="0.35">
      <c r="B3" s="259"/>
      <c r="C3" s="259"/>
      <c r="D3" s="259"/>
      <c r="E3" s="259"/>
      <c r="F3" s="259"/>
      <c r="G3" s="259"/>
      <c r="H3" s="259"/>
      <c r="I3" s="259"/>
      <c r="J3" s="259"/>
      <c r="K3" s="259"/>
      <c r="L3" s="259"/>
      <c r="M3" s="49"/>
    </row>
    <row r="4" spans="1:13" ht="14.5" customHeight="1" x14ac:dyDescent="0.35">
      <c r="B4" s="259"/>
      <c r="C4" s="259"/>
      <c r="D4" s="259"/>
      <c r="E4" s="259"/>
      <c r="F4" s="259"/>
      <c r="G4" s="259"/>
      <c r="H4" s="259"/>
      <c r="I4" s="259"/>
      <c r="J4" s="259"/>
      <c r="K4" s="259"/>
      <c r="L4" s="259"/>
      <c r="M4" s="49"/>
    </row>
    <row r="5" spans="1:13" ht="17" x14ac:dyDescent="0.35">
      <c r="B5" s="259"/>
      <c r="C5" s="259"/>
      <c r="D5" s="259"/>
      <c r="E5" s="259"/>
      <c r="F5" s="259"/>
      <c r="G5" s="259"/>
      <c r="H5" s="259"/>
      <c r="I5" s="259"/>
      <c r="J5" s="259"/>
      <c r="K5" s="259"/>
      <c r="L5" s="259"/>
      <c r="M5" s="49"/>
    </row>
    <row r="6" spans="1:13" ht="17" x14ac:dyDescent="0.35">
      <c r="B6" s="259"/>
      <c r="C6" s="259"/>
      <c r="D6" s="259"/>
      <c r="E6" s="259"/>
      <c r="F6" s="259"/>
      <c r="G6" s="259"/>
      <c r="H6" s="259"/>
      <c r="I6" s="259"/>
      <c r="J6" s="259"/>
      <c r="K6" s="259"/>
      <c r="L6" s="259"/>
      <c r="M6" s="49"/>
    </row>
    <row r="7" spans="1:13" ht="17" x14ac:dyDescent="0.35">
      <c r="B7" s="49"/>
      <c r="C7" s="49"/>
      <c r="D7" s="49"/>
      <c r="E7" s="49"/>
      <c r="F7" s="49"/>
      <c r="G7" s="49"/>
      <c r="H7" s="49"/>
      <c r="I7" s="49"/>
      <c r="J7" s="49"/>
      <c r="K7" s="49"/>
      <c r="L7" s="49"/>
      <c r="M7" s="49"/>
    </row>
    <row r="8" spans="1:13" ht="17" x14ac:dyDescent="0.35">
      <c r="B8" s="49"/>
      <c r="C8" s="49"/>
      <c r="D8" s="49"/>
      <c r="E8" s="49"/>
      <c r="F8" s="49"/>
      <c r="G8" s="49"/>
      <c r="H8" s="49"/>
      <c r="I8" s="49"/>
      <c r="J8" s="49"/>
      <c r="K8" s="49"/>
      <c r="L8" s="49"/>
      <c r="M8" s="49"/>
    </row>
    <row r="9" spans="1:13" ht="17" x14ac:dyDescent="0.35">
      <c r="B9" s="49"/>
      <c r="C9" s="49"/>
      <c r="D9" s="49"/>
      <c r="E9" s="49"/>
      <c r="F9" s="49"/>
      <c r="G9" s="49"/>
      <c r="H9" s="49"/>
      <c r="I9" s="49"/>
      <c r="J9" s="49"/>
      <c r="K9" s="49"/>
      <c r="L9" s="49"/>
      <c r="M9" s="49"/>
    </row>
    <row r="10" spans="1:13" ht="17.5" thickBot="1" x14ac:dyDescent="0.4">
      <c r="B10" s="57" t="s">
        <v>114</v>
      </c>
      <c r="C10" s="54"/>
      <c r="D10" s="49"/>
      <c r="E10" s="49"/>
      <c r="F10" s="49"/>
      <c r="G10" s="49"/>
      <c r="H10" s="49"/>
      <c r="I10" s="49"/>
      <c r="J10" s="49"/>
      <c r="K10" s="49"/>
      <c r="L10" s="49"/>
      <c r="M10" s="49"/>
    </row>
    <row r="11" spans="1:13" ht="17" x14ac:dyDescent="0.35">
      <c r="B11" s="56" t="s">
        <v>112</v>
      </c>
      <c r="C11" s="247">
        <v>7.0000000000000007E-2</v>
      </c>
      <c r="D11" s="85"/>
      <c r="E11" s="49"/>
      <c r="F11" s="49"/>
      <c r="G11" s="49"/>
      <c r="H11" s="49"/>
      <c r="I11" s="49"/>
      <c r="J11" s="49"/>
      <c r="K11" s="49"/>
      <c r="L11" s="49"/>
      <c r="M11" s="49"/>
    </row>
    <row r="12" spans="1:13" ht="17" x14ac:dyDescent="0.35">
      <c r="B12" s="51" t="s">
        <v>63</v>
      </c>
      <c r="C12" s="182">
        <v>1.5</v>
      </c>
      <c r="D12" s="52"/>
      <c r="E12" s="49"/>
      <c r="F12" s="49"/>
      <c r="G12" s="49"/>
      <c r="H12" s="49"/>
      <c r="I12" s="49"/>
      <c r="J12" s="49"/>
      <c r="K12" s="49"/>
      <c r="L12" s="49"/>
      <c r="M12" s="49"/>
    </row>
    <row r="13" spans="1:13" ht="17" x14ac:dyDescent="0.35">
      <c r="B13" s="51" t="s">
        <v>110</v>
      </c>
      <c r="C13" s="248">
        <v>300</v>
      </c>
      <c r="D13" s="50" t="s">
        <v>109</v>
      </c>
      <c r="E13" s="49"/>
      <c r="G13" s="49"/>
      <c r="H13" s="49"/>
      <c r="I13" s="49"/>
      <c r="J13" s="49"/>
      <c r="K13" s="49"/>
      <c r="L13" s="49"/>
      <c r="M13" s="49"/>
    </row>
    <row r="14" spans="1:13" ht="17" x14ac:dyDescent="0.35">
      <c r="B14" s="40" t="s">
        <v>108</v>
      </c>
      <c r="C14" s="167">
        <v>830</v>
      </c>
      <c r="D14" s="48" t="s">
        <v>107</v>
      </c>
      <c r="E14" s="49"/>
      <c r="F14" s="49"/>
      <c r="G14" s="49"/>
      <c r="H14" s="49"/>
      <c r="I14" s="49"/>
      <c r="J14" s="49"/>
      <c r="K14" s="49"/>
      <c r="L14" s="49"/>
      <c r="M14" s="49"/>
    </row>
    <row r="15" spans="1:13" x14ac:dyDescent="0.35">
      <c r="B15" s="40" t="s">
        <v>106</v>
      </c>
      <c r="C15" s="167">
        <v>2.99</v>
      </c>
      <c r="D15" s="48" t="s">
        <v>105</v>
      </c>
    </row>
    <row r="16" spans="1:13" ht="15" thickBot="1" x14ac:dyDescent="0.4">
      <c r="B16" s="47" t="s">
        <v>150</v>
      </c>
      <c r="C16" s="187">
        <v>4500</v>
      </c>
      <c r="D16" s="46" t="s">
        <v>151</v>
      </c>
    </row>
    <row r="19" spans="2:20" x14ac:dyDescent="0.35">
      <c r="B19" s="45"/>
    </row>
    <row r="20" spans="2:20" x14ac:dyDescent="0.35">
      <c r="C20" s="86"/>
      <c r="D20" s="86"/>
      <c r="E20" s="86"/>
      <c r="F20" s="86"/>
      <c r="G20" s="86"/>
      <c r="H20" s="86"/>
      <c r="I20" s="86"/>
      <c r="J20" s="86"/>
      <c r="K20" s="86"/>
      <c r="L20" s="86"/>
      <c r="M20" s="86"/>
      <c r="N20" s="86"/>
      <c r="O20" s="86"/>
      <c r="P20" s="86"/>
    </row>
    <row r="21" spans="2:20" x14ac:dyDescent="0.35">
      <c r="C21" s="39"/>
      <c r="E21" s="87"/>
      <c r="H21" s="53"/>
      <c r="I21" s="53"/>
      <c r="J21" s="88"/>
      <c r="K21" s="88"/>
      <c r="L21" s="53"/>
      <c r="M21" s="53"/>
      <c r="N21" s="53"/>
      <c r="O21" s="53"/>
      <c r="P21" s="88"/>
    </row>
    <row r="22" spans="2:20" x14ac:dyDescent="0.35">
      <c r="C22" s="39"/>
      <c r="E22" s="87"/>
      <c r="H22" s="53"/>
      <c r="I22" s="53"/>
      <c r="J22" s="88"/>
      <c r="K22" s="88"/>
      <c r="L22" s="53"/>
      <c r="M22" s="53"/>
      <c r="N22" s="53"/>
      <c r="O22" s="53"/>
      <c r="P22" s="88"/>
    </row>
    <row r="23" spans="2:20" ht="16" thickBot="1" x14ac:dyDescent="0.4">
      <c r="B23" s="59" t="s">
        <v>152</v>
      </c>
      <c r="C23" s="39"/>
      <c r="E23" s="87"/>
      <c r="F23" s="59" t="s">
        <v>153</v>
      </c>
      <c r="G23" s="53"/>
      <c r="H23" s="53"/>
      <c r="I23" s="88"/>
      <c r="J23" s="88"/>
      <c r="K23" s="53"/>
      <c r="L23" s="53"/>
      <c r="M23" s="53"/>
      <c r="N23" s="53"/>
      <c r="O23" s="88"/>
    </row>
    <row r="24" spans="2:20" ht="68.5" customHeight="1" thickBot="1" x14ac:dyDescent="0.5">
      <c r="B24" s="44" t="s">
        <v>154</v>
      </c>
      <c r="C24" s="89" t="s">
        <v>155</v>
      </c>
      <c r="D24" s="43" t="s">
        <v>156</v>
      </c>
      <c r="E24" s="90" t="s">
        <v>157</v>
      </c>
      <c r="F24" s="109" t="s">
        <v>158</v>
      </c>
      <c r="G24" s="108" t="s">
        <v>159</v>
      </c>
      <c r="H24" s="92" t="s">
        <v>132</v>
      </c>
      <c r="I24" s="93" t="s">
        <v>160</v>
      </c>
      <c r="J24" s="93" t="s">
        <v>161</v>
      </c>
      <c r="K24" s="94" t="s">
        <v>162</v>
      </c>
      <c r="L24" s="95" t="s">
        <v>163</v>
      </c>
      <c r="M24" s="91" t="s">
        <v>182</v>
      </c>
      <c r="N24" s="91" t="s">
        <v>164</v>
      </c>
      <c r="O24" s="61" t="s">
        <v>165</v>
      </c>
      <c r="P24" s="61" t="s">
        <v>166</v>
      </c>
      <c r="Q24" s="61" t="s">
        <v>167</v>
      </c>
      <c r="R24" s="61" t="s">
        <v>168</v>
      </c>
      <c r="S24" s="61" t="s">
        <v>169</v>
      </c>
      <c r="T24" s="60" t="s">
        <v>170</v>
      </c>
    </row>
    <row r="25" spans="2:20" x14ac:dyDescent="0.35">
      <c r="B25" s="41" t="s">
        <v>171</v>
      </c>
      <c r="C25" s="96">
        <v>2.5</v>
      </c>
      <c r="D25" s="97">
        <v>0</v>
      </c>
      <c r="E25" s="98">
        <v>1.8</v>
      </c>
      <c r="F25" s="260">
        <v>2500</v>
      </c>
      <c r="G25" s="99">
        <f t="shared" ref="G25:G34" si="0">F25+$C$16</f>
        <v>7000</v>
      </c>
      <c r="H25" s="167">
        <v>4</v>
      </c>
      <c r="I25" s="182">
        <v>7.5</v>
      </c>
      <c r="J25" s="198">
        <v>10000</v>
      </c>
      <c r="K25" s="263">
        <v>0.7</v>
      </c>
      <c r="L25" s="100">
        <f>(1-K25)*J25</f>
        <v>3000.0000000000005</v>
      </c>
      <c r="M25" s="101">
        <f>H25*I25/10</f>
        <v>3</v>
      </c>
      <c r="N25" s="101">
        <f>M25*J25/1000</f>
        <v>30</v>
      </c>
      <c r="O25" s="101">
        <f t="shared" ref="O25:O34" si="1">C25+D25*H25+E25*N25</f>
        <v>56.5</v>
      </c>
      <c r="P25" s="101">
        <f t="shared" ref="P25:P34" si="2">$C$11*G25*9.81/1000*I25/3.6*$C$12</f>
        <v>15.021562500000002</v>
      </c>
      <c r="Q25" s="101">
        <f>O25+P25</f>
        <v>71.521562500000002</v>
      </c>
      <c r="R25" s="101">
        <f t="shared" ref="R25:R34" si="3">Q25*$C$13/$C$14</f>
        <v>25.851167168674699</v>
      </c>
      <c r="S25" s="101">
        <f>R25/M25</f>
        <v>8.6170557228915658</v>
      </c>
      <c r="T25" s="102">
        <f t="shared" ref="T25:T34" si="4">$C$15*S25</f>
        <v>25.764996611445785</v>
      </c>
    </row>
    <row r="26" spans="2:20" x14ac:dyDescent="0.35">
      <c r="B26" s="40" t="s">
        <v>172</v>
      </c>
      <c r="C26" s="103">
        <v>4</v>
      </c>
      <c r="D26" s="35">
        <v>0</v>
      </c>
      <c r="E26" s="48">
        <v>1.1000000000000001</v>
      </c>
      <c r="F26" s="261">
        <v>2500</v>
      </c>
      <c r="G26" s="66">
        <f t="shared" si="0"/>
        <v>7000</v>
      </c>
      <c r="H26" s="167">
        <v>6</v>
      </c>
      <c r="I26" s="182">
        <v>7</v>
      </c>
      <c r="J26" s="198">
        <v>10000</v>
      </c>
      <c r="K26" s="263">
        <v>0.7</v>
      </c>
      <c r="L26" s="104">
        <f t="shared" ref="L26:L34" si="5">(1-K26)*J26</f>
        <v>3000.0000000000005</v>
      </c>
      <c r="M26" s="65">
        <f t="shared" ref="M26:M34" si="6">H26*I26/10</f>
        <v>4.2</v>
      </c>
      <c r="N26" s="65">
        <f t="shared" ref="N26:N34" si="7">M26*J26/1000</f>
        <v>42</v>
      </c>
      <c r="O26" s="65">
        <f t="shared" si="1"/>
        <v>50.2</v>
      </c>
      <c r="P26" s="65">
        <f t="shared" si="2"/>
        <v>14.020125000000004</v>
      </c>
      <c r="Q26" s="65">
        <f t="shared" ref="Q26:Q34" si="8">O26+P26</f>
        <v>64.22012500000001</v>
      </c>
      <c r="R26" s="65">
        <f t="shared" si="3"/>
        <v>23.212093373493978</v>
      </c>
      <c r="S26" s="65">
        <f t="shared" ref="S26:S34" si="9">R26/M26</f>
        <v>5.5266888984509466</v>
      </c>
      <c r="T26" s="67">
        <f t="shared" si="4"/>
        <v>16.524799806368332</v>
      </c>
    </row>
    <row r="27" spans="2:20" ht="16.5" x14ac:dyDescent="0.35">
      <c r="B27" s="40" t="s">
        <v>173</v>
      </c>
      <c r="C27" s="103">
        <v>6</v>
      </c>
      <c r="D27" s="35">
        <v>0</v>
      </c>
      <c r="E27" s="105">
        <v>4</v>
      </c>
      <c r="F27" s="261">
        <v>4500</v>
      </c>
      <c r="G27" s="66">
        <f t="shared" si="0"/>
        <v>9000</v>
      </c>
      <c r="H27" s="167">
        <v>2</v>
      </c>
      <c r="I27" s="182">
        <v>7</v>
      </c>
      <c r="J27" s="198">
        <v>10000</v>
      </c>
      <c r="K27" s="263">
        <v>0.7</v>
      </c>
      <c r="L27" s="104">
        <f t="shared" si="5"/>
        <v>3000.0000000000005</v>
      </c>
      <c r="M27" s="65">
        <f t="shared" si="6"/>
        <v>1.4</v>
      </c>
      <c r="N27" s="65">
        <f>M27*L27/1000</f>
        <v>4.2</v>
      </c>
      <c r="O27" s="65">
        <f t="shared" si="1"/>
        <v>22.8</v>
      </c>
      <c r="P27" s="65">
        <f t="shared" si="2"/>
        <v>18.025874999999999</v>
      </c>
      <c r="Q27" s="65">
        <f t="shared" si="8"/>
        <v>40.825874999999996</v>
      </c>
      <c r="R27" s="65">
        <f t="shared" si="3"/>
        <v>14.756340361445782</v>
      </c>
      <c r="S27" s="65">
        <f t="shared" si="9"/>
        <v>10.540243115318416</v>
      </c>
      <c r="T27" s="67">
        <f t="shared" si="4"/>
        <v>31.515326914802067</v>
      </c>
    </row>
    <row r="28" spans="2:20" x14ac:dyDescent="0.35">
      <c r="B28" s="40" t="s">
        <v>174</v>
      </c>
      <c r="C28" s="35">
        <v>0</v>
      </c>
      <c r="D28" s="35">
        <v>5</v>
      </c>
      <c r="E28" s="48">
        <v>0</v>
      </c>
      <c r="F28" s="261">
        <v>900</v>
      </c>
      <c r="G28" s="66">
        <f t="shared" si="0"/>
        <v>5400</v>
      </c>
      <c r="H28" s="167">
        <v>6</v>
      </c>
      <c r="I28" s="182">
        <v>12</v>
      </c>
      <c r="J28" s="198">
        <v>10000</v>
      </c>
      <c r="K28" s="263">
        <v>0.7</v>
      </c>
      <c r="L28" s="104">
        <f t="shared" si="5"/>
        <v>3000.0000000000005</v>
      </c>
      <c r="M28" s="65">
        <f t="shared" si="6"/>
        <v>7.2</v>
      </c>
      <c r="N28" s="65"/>
      <c r="O28" s="65">
        <f t="shared" si="1"/>
        <v>30</v>
      </c>
      <c r="P28" s="65">
        <f t="shared" si="2"/>
        <v>18.540900000000004</v>
      </c>
      <c r="Q28" s="65">
        <f t="shared" si="8"/>
        <v>48.540900000000008</v>
      </c>
      <c r="R28" s="65">
        <f t="shared" si="3"/>
        <v>17.544903614457834</v>
      </c>
      <c r="S28" s="65">
        <f t="shared" si="9"/>
        <v>2.4367921686746992</v>
      </c>
      <c r="T28" s="67">
        <f t="shared" si="4"/>
        <v>7.2860085843373508</v>
      </c>
    </row>
    <row r="29" spans="2:20" x14ac:dyDescent="0.35">
      <c r="B29" s="106" t="s">
        <v>175</v>
      </c>
      <c r="C29" s="35">
        <v>0</v>
      </c>
      <c r="D29" s="35">
        <v>8</v>
      </c>
      <c r="E29" s="48">
        <v>0</v>
      </c>
      <c r="F29" s="261">
        <v>1200</v>
      </c>
      <c r="G29" s="66">
        <f t="shared" si="0"/>
        <v>5700</v>
      </c>
      <c r="H29" s="167">
        <v>6</v>
      </c>
      <c r="I29" s="182">
        <v>12</v>
      </c>
      <c r="J29" s="198">
        <v>10000</v>
      </c>
      <c r="K29" s="263">
        <v>0.7</v>
      </c>
      <c r="L29" s="104">
        <f t="shared" si="5"/>
        <v>3000.0000000000005</v>
      </c>
      <c r="M29" s="65">
        <f t="shared" si="6"/>
        <v>7.2</v>
      </c>
      <c r="N29" s="65"/>
      <c r="O29" s="65">
        <f t="shared" si="1"/>
        <v>48</v>
      </c>
      <c r="P29" s="65">
        <f t="shared" si="2"/>
        <v>19.570950000000003</v>
      </c>
      <c r="Q29" s="65">
        <f t="shared" si="8"/>
        <v>67.570950000000011</v>
      </c>
      <c r="R29" s="65">
        <f t="shared" si="3"/>
        <v>24.423234939759041</v>
      </c>
      <c r="S29" s="65">
        <f t="shared" si="9"/>
        <v>3.3921159638554221</v>
      </c>
      <c r="T29" s="67">
        <f t="shared" si="4"/>
        <v>10.142426731927713</v>
      </c>
    </row>
    <row r="30" spans="2:20" x14ac:dyDescent="0.35">
      <c r="B30" s="40" t="s">
        <v>176</v>
      </c>
      <c r="C30" s="35">
        <v>0</v>
      </c>
      <c r="D30" s="35">
        <v>4.5</v>
      </c>
      <c r="E30" s="48">
        <v>0</v>
      </c>
      <c r="F30" s="261">
        <v>1200</v>
      </c>
      <c r="G30" s="66">
        <f t="shared" si="0"/>
        <v>5700</v>
      </c>
      <c r="H30" s="167">
        <v>6</v>
      </c>
      <c r="I30" s="182">
        <v>9</v>
      </c>
      <c r="J30" s="198">
        <v>10000</v>
      </c>
      <c r="K30" s="263">
        <v>0.7</v>
      </c>
      <c r="L30" s="104">
        <f t="shared" si="5"/>
        <v>3000.0000000000005</v>
      </c>
      <c r="M30" s="65">
        <f t="shared" si="6"/>
        <v>5.4</v>
      </c>
      <c r="N30" s="65"/>
      <c r="O30" s="65">
        <f t="shared" si="1"/>
        <v>27</v>
      </c>
      <c r="P30" s="65">
        <f t="shared" si="2"/>
        <v>14.678212500000003</v>
      </c>
      <c r="Q30" s="65">
        <f t="shared" si="8"/>
        <v>41.678212500000001</v>
      </c>
      <c r="R30" s="65">
        <f t="shared" si="3"/>
        <v>15.064414156626507</v>
      </c>
      <c r="S30" s="65">
        <f t="shared" si="9"/>
        <v>2.7897063253012049</v>
      </c>
      <c r="T30" s="67">
        <f t="shared" si="4"/>
        <v>8.3412219126506031</v>
      </c>
    </row>
    <row r="31" spans="2:20" x14ac:dyDescent="0.35">
      <c r="B31" s="40" t="s">
        <v>177</v>
      </c>
      <c r="C31" s="35">
        <v>0</v>
      </c>
      <c r="D31" s="35">
        <v>1.2</v>
      </c>
      <c r="E31" s="48">
        <v>0</v>
      </c>
      <c r="F31" s="261">
        <v>600</v>
      </c>
      <c r="G31" s="66">
        <f t="shared" si="0"/>
        <v>5100</v>
      </c>
      <c r="H31" s="167">
        <v>6</v>
      </c>
      <c r="I31" s="182">
        <v>8</v>
      </c>
      <c r="J31" s="198">
        <v>10000</v>
      </c>
      <c r="K31" s="263">
        <v>0.7</v>
      </c>
      <c r="L31" s="104">
        <f t="shared" si="5"/>
        <v>3000.0000000000005</v>
      </c>
      <c r="M31" s="65">
        <f t="shared" si="6"/>
        <v>4.8</v>
      </c>
      <c r="N31" s="65"/>
      <c r="O31" s="65">
        <f t="shared" si="1"/>
        <v>7.1999999999999993</v>
      </c>
      <c r="P31" s="65">
        <f t="shared" si="2"/>
        <v>11.6739</v>
      </c>
      <c r="Q31" s="65">
        <f t="shared" si="8"/>
        <v>18.873899999999999</v>
      </c>
      <c r="R31" s="65">
        <f t="shared" si="3"/>
        <v>6.8218915662650605</v>
      </c>
      <c r="S31" s="65">
        <f t="shared" si="9"/>
        <v>1.4212274096385544</v>
      </c>
      <c r="T31" s="67">
        <f t="shared" si="4"/>
        <v>4.2494699548192783</v>
      </c>
    </row>
    <row r="32" spans="2:20" x14ac:dyDescent="0.35">
      <c r="B32" s="40" t="s">
        <v>178</v>
      </c>
      <c r="C32" s="35">
        <v>0</v>
      </c>
      <c r="D32" s="35">
        <v>2</v>
      </c>
      <c r="E32" s="48">
        <v>0</v>
      </c>
      <c r="F32" s="261">
        <v>800</v>
      </c>
      <c r="G32" s="66">
        <f t="shared" si="0"/>
        <v>5300</v>
      </c>
      <c r="H32" s="167">
        <v>6</v>
      </c>
      <c r="I32" s="182">
        <v>10</v>
      </c>
      <c r="J32" s="198">
        <v>10000</v>
      </c>
      <c r="K32" s="263">
        <v>0.7</v>
      </c>
      <c r="L32" s="104">
        <f t="shared" si="5"/>
        <v>3000.0000000000005</v>
      </c>
      <c r="M32" s="65">
        <f t="shared" si="6"/>
        <v>6</v>
      </c>
      <c r="N32" s="65"/>
      <c r="O32" s="65">
        <f t="shared" si="1"/>
        <v>12</v>
      </c>
      <c r="P32" s="65">
        <f t="shared" si="2"/>
        <v>15.164625000000003</v>
      </c>
      <c r="Q32" s="65">
        <f t="shared" si="8"/>
        <v>27.164625000000001</v>
      </c>
      <c r="R32" s="65">
        <f t="shared" si="3"/>
        <v>9.8185391566265068</v>
      </c>
      <c r="S32" s="65">
        <f t="shared" si="9"/>
        <v>1.6364231927710844</v>
      </c>
      <c r="T32" s="67">
        <f t="shared" si="4"/>
        <v>4.8929053463855423</v>
      </c>
    </row>
    <row r="33" spans="2:20" x14ac:dyDescent="0.35">
      <c r="B33" s="40" t="s">
        <v>179</v>
      </c>
      <c r="C33" s="35">
        <v>0</v>
      </c>
      <c r="D33" s="35">
        <v>1.5</v>
      </c>
      <c r="E33" s="48">
        <v>0</v>
      </c>
      <c r="F33" s="261">
        <v>800</v>
      </c>
      <c r="G33" s="66">
        <f t="shared" si="0"/>
        <v>5300</v>
      </c>
      <c r="H33" s="167">
        <v>6</v>
      </c>
      <c r="I33" s="182">
        <v>10</v>
      </c>
      <c r="J33" s="198">
        <v>10000</v>
      </c>
      <c r="K33" s="263">
        <v>0.7</v>
      </c>
      <c r="L33" s="104">
        <f t="shared" si="5"/>
        <v>3000.0000000000005</v>
      </c>
      <c r="M33" s="65">
        <f t="shared" si="6"/>
        <v>6</v>
      </c>
      <c r="N33" s="65"/>
      <c r="O33" s="65">
        <f t="shared" si="1"/>
        <v>9</v>
      </c>
      <c r="P33" s="65">
        <f t="shared" si="2"/>
        <v>15.164625000000003</v>
      </c>
      <c r="Q33" s="65">
        <f t="shared" si="8"/>
        <v>24.164625000000001</v>
      </c>
      <c r="R33" s="65">
        <f t="shared" si="3"/>
        <v>8.7342018072289171</v>
      </c>
      <c r="S33" s="65">
        <f t="shared" si="9"/>
        <v>1.4557003012048195</v>
      </c>
      <c r="T33" s="67">
        <f t="shared" si="4"/>
        <v>4.3525439006024103</v>
      </c>
    </row>
    <row r="34" spans="2:20" ht="15" thickBot="1" x14ac:dyDescent="0.4">
      <c r="B34" s="38" t="s">
        <v>180</v>
      </c>
      <c r="C34" s="81">
        <v>0</v>
      </c>
      <c r="D34" s="81">
        <v>0</v>
      </c>
      <c r="E34" s="46">
        <v>1.5</v>
      </c>
      <c r="F34" s="262">
        <v>12000</v>
      </c>
      <c r="G34" s="71">
        <f t="shared" si="0"/>
        <v>16500</v>
      </c>
      <c r="H34" s="187">
        <v>6</v>
      </c>
      <c r="I34" s="257">
        <v>7</v>
      </c>
      <c r="J34" s="251">
        <v>10000</v>
      </c>
      <c r="K34" s="264">
        <v>0.7</v>
      </c>
      <c r="L34" s="107">
        <f t="shared" si="5"/>
        <v>3000.0000000000005</v>
      </c>
      <c r="M34" s="70">
        <f t="shared" si="6"/>
        <v>4.2</v>
      </c>
      <c r="N34" s="70">
        <f t="shared" si="7"/>
        <v>42</v>
      </c>
      <c r="O34" s="70">
        <f t="shared" si="1"/>
        <v>63</v>
      </c>
      <c r="P34" s="70">
        <f t="shared" si="2"/>
        <v>33.047437500000001</v>
      </c>
      <c r="Q34" s="70">
        <f t="shared" si="8"/>
        <v>96.047437500000001</v>
      </c>
      <c r="R34" s="70">
        <f t="shared" si="3"/>
        <v>34.715941265060245</v>
      </c>
      <c r="S34" s="70">
        <f t="shared" si="9"/>
        <v>8.26570030120482</v>
      </c>
      <c r="T34" s="72">
        <f t="shared" si="4"/>
        <v>24.714443900602415</v>
      </c>
    </row>
    <row r="35" spans="2:20" ht="16.5" x14ac:dyDescent="0.35">
      <c r="B35" s="36" t="s">
        <v>181</v>
      </c>
    </row>
  </sheetData>
  <sheetProtection algorithmName="SHA-512" hashValue="Jwq+tZ+rntILWiZnjiAN2k5Cyy9Ldv181+FVr9VjlJP+dduqbGUrH1k0W9uqgMjX984wREtWrLbmxI94mo3jDQ==" saltValue="SKTPaBOp3KVW7ggG8agCgQ==" spinCount="100000" sheet="1" objects="1" scenarios="1"/>
  <mergeCells count="1">
    <mergeCell ref="B2:L6"/>
  </mergeCells>
  <dataValidations count="5">
    <dataValidation allowBlank="1" showInputMessage="1" showErrorMessage="1" prompt="Tilastokeskun tarkistaa luokituksia säännöllisesti" sqref="C15" xr:uid="{8BB98728-7D88-4E77-8CCD-913E297F8B44}"/>
    <dataValidation type="decimal" allowBlank="1" showInputMessage="1" showErrorMessage="1" prompt="Talvilaadun tiheys on useimmiten 820 ja kesälaadun 830 " sqref="C14" xr:uid="{07112B99-FE4E-4B5E-89BD-661FA796E85D}">
      <formula1>820</formula1>
      <formula2>840</formula2>
    </dataValidation>
    <dataValidation type="decimal" allowBlank="1" showInputMessage="1" showErrorMessage="1" prompt="Tasaisella ja kovalla pellolla kerroin on 1,4 ja pehmeillä rinnepelloilla 2" sqref="C12" xr:uid="{17D456D9-AB73-4B74-8D3E-199551AADD18}">
      <formula1>1.4</formula1>
      <formula2>2</formula2>
    </dataValidation>
    <dataValidation type="whole" allowBlank="1" showInputMessage="1" showErrorMessage="1" error="Polttoaineen kulutus on normaalisti 250 - 350 g/kWh " prompt="Täysin kuormitetun moottorin ominaiskulutus on 250 - 280 g/kWh. Osakuormalla kulutus on luokkaa 300 - 350 g/kWh" sqref="C13" xr:uid="{549C08DA-C860-4DAA-9F9B-3B5DB63E769A}">
      <formula1>250</formula1>
      <formula2>350</formula2>
    </dataValidation>
    <dataValidation type="decimal" allowBlank="1" showInputMessage="1" showErrorMessage="1" error="Anna lukema väliltä 0,05 - 0,1" prompt="Kovan pellon vierimisvastuskerroin on luokkaa 0,07 ja pehmeän 0,1" sqref="C11" xr:uid="{D946F142-13BC-43A8-A53D-1E5792722A2F}">
      <formula1>0.05</formula1>
      <formula2>0.1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26B0-3E9C-41A7-B663-126F09D85E8E}">
  <sheetPr codeName="Sheet2"/>
  <dimension ref="A1:U58"/>
  <sheetViews>
    <sheetView workbookViewId="0">
      <selection activeCell="L30" sqref="L30"/>
    </sheetView>
  </sheetViews>
  <sheetFormatPr defaultColWidth="9.1796875" defaultRowHeight="14.5" x14ac:dyDescent="0.35"/>
  <cols>
    <col min="1" max="1" width="9.1796875" style="206"/>
    <col min="2" max="2" width="14.81640625" style="206" customWidth="1"/>
    <col min="3" max="3" width="44.26953125" style="206" customWidth="1"/>
    <col min="4" max="4" width="15.1796875" style="206" customWidth="1"/>
    <col min="5" max="5" width="24.81640625" style="206" customWidth="1"/>
    <col min="6" max="6" width="21.453125" style="206" customWidth="1"/>
    <col min="7" max="12" width="9.1796875" style="206"/>
    <col min="13" max="13" width="14.1796875" style="206" bestFit="1" customWidth="1"/>
    <col min="14" max="16" width="9.1796875" style="206"/>
    <col min="17" max="21" width="0" style="206" hidden="1" customWidth="1"/>
    <col min="22" max="16384" width="9.1796875" style="206"/>
  </cols>
  <sheetData>
    <row r="1" spans="1:13" x14ac:dyDescent="0.35">
      <c r="A1" s="226" t="s">
        <v>426</v>
      </c>
    </row>
    <row r="3" spans="1:13" x14ac:dyDescent="0.35">
      <c r="B3" s="239" t="s">
        <v>425</v>
      </c>
      <c r="C3" s="239"/>
      <c r="D3" s="239"/>
      <c r="E3" s="239"/>
      <c r="F3" s="239"/>
      <c r="G3" s="239"/>
      <c r="H3" s="239"/>
      <c r="I3" s="239"/>
      <c r="J3" s="239"/>
      <c r="K3" s="239"/>
      <c r="L3" s="239"/>
      <c r="M3" s="239"/>
    </row>
    <row r="4" spans="1:13" x14ac:dyDescent="0.35">
      <c r="B4" s="239"/>
      <c r="C4" s="239"/>
      <c r="D4" s="239"/>
      <c r="E4" s="239"/>
      <c r="F4" s="239"/>
      <c r="G4" s="239"/>
      <c r="H4" s="239"/>
      <c r="I4" s="239"/>
      <c r="J4" s="239"/>
      <c r="K4" s="239"/>
      <c r="L4" s="239"/>
      <c r="M4" s="239"/>
    </row>
    <row r="5" spans="1:13" x14ac:dyDescent="0.35">
      <c r="B5" s="239"/>
      <c r="C5" s="239"/>
      <c r="D5" s="239"/>
      <c r="E5" s="239"/>
      <c r="F5" s="239"/>
      <c r="G5" s="239"/>
      <c r="H5" s="239"/>
      <c r="I5" s="239"/>
      <c r="J5" s="239"/>
      <c r="K5" s="239"/>
      <c r="L5" s="239"/>
      <c r="M5" s="239"/>
    </row>
    <row r="6" spans="1:13" x14ac:dyDescent="0.35">
      <c r="B6" s="225"/>
      <c r="C6" s="225"/>
      <c r="D6" s="225"/>
      <c r="E6" s="225"/>
      <c r="F6" s="225"/>
      <c r="G6" s="225"/>
      <c r="H6" s="225"/>
      <c r="I6" s="225"/>
      <c r="J6" s="225"/>
      <c r="K6" s="225"/>
      <c r="L6" s="225"/>
      <c r="M6" s="225"/>
    </row>
    <row r="7" spans="1:13" ht="15" thickBot="1" x14ac:dyDescent="0.4">
      <c r="B7" s="225"/>
      <c r="C7" s="225"/>
      <c r="D7" s="225"/>
      <c r="E7" s="225"/>
      <c r="F7" s="225"/>
      <c r="G7" s="225"/>
      <c r="H7" s="225"/>
      <c r="I7" s="225"/>
      <c r="J7" s="225"/>
      <c r="K7" s="225"/>
      <c r="L7" s="225"/>
      <c r="M7" s="225"/>
    </row>
    <row r="8" spans="1:13" x14ac:dyDescent="0.35">
      <c r="B8" s="221" t="s">
        <v>424</v>
      </c>
      <c r="C8" s="220"/>
      <c r="D8" s="220"/>
      <c r="E8" s="219" t="s">
        <v>423</v>
      </c>
      <c r="F8" s="220"/>
      <c r="G8" s="218"/>
    </row>
    <row r="9" spans="1:13" x14ac:dyDescent="0.35">
      <c r="B9" s="217" t="s">
        <v>422</v>
      </c>
      <c r="C9" s="223">
        <v>11</v>
      </c>
      <c r="D9" s="206" t="s">
        <v>350</v>
      </c>
      <c r="E9" s="206" t="s">
        <v>421</v>
      </c>
      <c r="F9" s="223">
        <v>120</v>
      </c>
      <c r="G9" s="214" t="s">
        <v>186</v>
      </c>
    </row>
    <row r="10" spans="1:13" ht="15" thickBot="1" x14ac:dyDescent="0.4">
      <c r="B10" s="213" t="s">
        <v>420</v>
      </c>
      <c r="C10" s="224">
        <v>3.6</v>
      </c>
      <c r="D10" s="212" t="s">
        <v>350</v>
      </c>
      <c r="E10" s="212" t="s">
        <v>419</v>
      </c>
      <c r="F10" s="240">
        <v>8</v>
      </c>
      <c r="G10" s="210" t="s">
        <v>360</v>
      </c>
    </row>
    <row r="11" spans="1:13" ht="15" thickBot="1" x14ac:dyDescent="0.4"/>
    <row r="12" spans="1:13" x14ac:dyDescent="0.35">
      <c r="B12" s="221" t="s">
        <v>418</v>
      </c>
      <c r="C12" s="220"/>
      <c r="D12" s="220"/>
      <c r="E12" s="220"/>
      <c r="F12" s="219" t="s">
        <v>416</v>
      </c>
      <c r="G12" s="218"/>
    </row>
    <row r="13" spans="1:13" x14ac:dyDescent="0.35">
      <c r="B13" s="217"/>
      <c r="C13" s="206" t="s">
        <v>414</v>
      </c>
      <c r="D13" s="223">
        <v>4</v>
      </c>
      <c r="E13" s="206" t="s">
        <v>202</v>
      </c>
      <c r="F13" s="215">
        <f>F9/D13</f>
        <v>30</v>
      </c>
      <c r="G13" s="214" t="s">
        <v>362</v>
      </c>
    </row>
    <row r="14" spans="1:13" ht="15" thickBot="1" x14ac:dyDescent="0.4">
      <c r="B14" s="213"/>
      <c r="C14" s="212" t="str">
        <f>"Todennäköisyys " &amp; D13 &amp; " poutapäivälle"</f>
        <v>Todennäköisyys 4 poutapäivälle</v>
      </c>
      <c r="D14" s="222">
        <f>1-_xlfn.NORM.DIST(D13,$C$9,$C$10,1)</f>
        <v>0.97407906064215699</v>
      </c>
      <c r="E14" s="212"/>
      <c r="F14" s="211">
        <f>F9/(D13*F10)</f>
        <v>3.75</v>
      </c>
      <c r="G14" s="210" t="s">
        <v>195</v>
      </c>
    </row>
    <row r="15" spans="1:13" x14ac:dyDescent="0.35">
      <c r="D15" s="207"/>
    </row>
    <row r="16" spans="1:13" ht="15" thickBot="1" x14ac:dyDescent="0.4">
      <c r="D16" s="207"/>
      <c r="F16" s="215"/>
    </row>
    <row r="17" spans="2:21" x14ac:dyDescent="0.35">
      <c r="B17" s="221" t="s">
        <v>417</v>
      </c>
      <c r="C17" s="220"/>
      <c r="D17" s="220"/>
      <c r="E17" s="220"/>
      <c r="F17" s="219" t="s">
        <v>416</v>
      </c>
      <c r="G17" s="218"/>
    </row>
    <row r="18" spans="2:21" x14ac:dyDescent="0.35">
      <c r="B18" s="217"/>
      <c r="C18" s="206" t="s">
        <v>415</v>
      </c>
      <c r="D18" s="216">
        <v>0.65</v>
      </c>
      <c r="F18" s="215">
        <f>F9/D19</f>
        <v>12.483295373056182</v>
      </c>
      <c r="G18" s="214" t="s">
        <v>362</v>
      </c>
    </row>
    <row r="19" spans="2:21" ht="15" thickBot="1" x14ac:dyDescent="0.4">
      <c r="B19" s="213"/>
      <c r="C19" s="212" t="str">
        <f>"Poutapäivien määrä "&amp;D18*100&amp;"% todennäköisyydellä"</f>
        <v>Poutapäivien määrä 65% todennäköisyydellä</v>
      </c>
      <c r="D19" s="211">
        <f>_xlfn.NORM.INV(1-D18,$C$9,$C$10)</f>
        <v>9.6128463209327553</v>
      </c>
      <c r="E19" s="212" t="s">
        <v>202</v>
      </c>
      <c r="F19" s="211">
        <f>F9/(F10*D19)</f>
        <v>1.5604119216320227</v>
      </c>
      <c r="G19" s="210" t="s">
        <v>195</v>
      </c>
      <c r="Q19" s="206" t="s">
        <v>414</v>
      </c>
      <c r="R19" s="207" t="s">
        <v>415</v>
      </c>
      <c r="T19" s="206" t="s">
        <v>415</v>
      </c>
      <c r="U19" s="206" t="s">
        <v>414</v>
      </c>
    </row>
    <row r="20" spans="2:21" x14ac:dyDescent="0.35">
      <c r="F20" s="209"/>
      <c r="R20" s="207"/>
      <c r="T20" s="206">
        <v>0.99</v>
      </c>
      <c r="U20" s="208">
        <f t="shared" ref="U20:U39" si="0">_xlfn.NORM.INV(1-T20,$C$9,$C$10)</f>
        <v>2.6251476534529736</v>
      </c>
    </row>
    <row r="21" spans="2:21" x14ac:dyDescent="0.35">
      <c r="D21" s="207"/>
      <c r="Q21" s="206">
        <f t="shared" ref="Q21:Q50" si="1">+Q20+1</f>
        <v>1</v>
      </c>
      <c r="R21" s="207">
        <f t="shared" ref="R21:R50" si="2">1-_xlfn.NORM.DIST(Q21,$C$9,$C$10,1)</f>
        <v>0.99726339821375587</v>
      </c>
      <c r="T21" s="206">
        <v>0.95</v>
      </c>
      <c r="U21" s="208">
        <f t="shared" si="0"/>
        <v>5.078526942974702</v>
      </c>
    </row>
    <row r="22" spans="2:21" x14ac:dyDescent="0.35">
      <c r="D22" s="207"/>
      <c r="Q22" s="206">
        <f t="shared" si="1"/>
        <v>2</v>
      </c>
      <c r="R22" s="207">
        <f t="shared" si="2"/>
        <v>0.99379033467422384</v>
      </c>
      <c r="T22" s="206">
        <v>0.9</v>
      </c>
      <c r="U22" s="208">
        <f t="shared" si="0"/>
        <v>6.386414364039438</v>
      </c>
    </row>
    <row r="23" spans="2:21" x14ac:dyDescent="0.35">
      <c r="D23" s="207"/>
      <c r="Q23" s="206">
        <f t="shared" si="1"/>
        <v>3</v>
      </c>
      <c r="R23" s="207">
        <f t="shared" si="2"/>
        <v>0.98686585430897888</v>
      </c>
      <c r="T23" s="206">
        <v>0.85</v>
      </c>
      <c r="U23" s="208">
        <f t="shared" si="0"/>
        <v>7.2688397978223565</v>
      </c>
    </row>
    <row r="24" spans="2:21" x14ac:dyDescent="0.35">
      <c r="Q24" s="206">
        <f t="shared" si="1"/>
        <v>4</v>
      </c>
      <c r="R24" s="207">
        <f t="shared" si="2"/>
        <v>0.97407906064215699</v>
      </c>
      <c r="T24" s="206">
        <v>0.8</v>
      </c>
      <c r="U24" s="208">
        <f t="shared" si="0"/>
        <v>7.9701635591375073</v>
      </c>
    </row>
    <row r="25" spans="2:21" x14ac:dyDescent="0.35">
      <c r="Q25" s="206">
        <f t="shared" si="1"/>
        <v>5</v>
      </c>
      <c r="R25" s="207">
        <f t="shared" si="2"/>
        <v>0.9522096477271853</v>
      </c>
      <c r="T25" s="206">
        <v>0.75</v>
      </c>
      <c r="U25" s="208">
        <f t="shared" si="0"/>
        <v>8.5718368992941052</v>
      </c>
    </row>
    <row r="26" spans="2:21" x14ac:dyDescent="0.35">
      <c r="Q26" s="206">
        <f t="shared" si="1"/>
        <v>6</v>
      </c>
      <c r="R26" s="207">
        <f t="shared" si="2"/>
        <v>0.9175667301260455</v>
      </c>
      <c r="T26" s="206">
        <v>0.7</v>
      </c>
      <c r="U26" s="208">
        <f t="shared" si="0"/>
        <v>9.1121581542510537</v>
      </c>
    </row>
    <row r="27" spans="2:21" x14ac:dyDescent="0.35">
      <c r="Q27" s="206">
        <f t="shared" si="1"/>
        <v>7</v>
      </c>
      <c r="R27" s="207">
        <f t="shared" si="2"/>
        <v>0.86673973709749452</v>
      </c>
      <c r="T27" s="206">
        <v>0.65</v>
      </c>
      <c r="U27" s="208">
        <f t="shared" si="0"/>
        <v>9.6128463209327553</v>
      </c>
    </row>
    <row r="28" spans="2:21" x14ac:dyDescent="0.35">
      <c r="Q28" s="206">
        <f t="shared" si="1"/>
        <v>8</v>
      </c>
      <c r="R28" s="207">
        <f t="shared" si="2"/>
        <v>0.79767161903635697</v>
      </c>
      <c r="T28" s="206">
        <v>0.6</v>
      </c>
      <c r="U28" s="208">
        <f t="shared" si="0"/>
        <v>10.087950428711121</v>
      </c>
    </row>
    <row r="29" spans="2:21" x14ac:dyDescent="0.35">
      <c r="Q29" s="206">
        <f t="shared" si="1"/>
        <v>9</v>
      </c>
      <c r="R29" s="207">
        <f t="shared" si="2"/>
        <v>0.7107426392460281</v>
      </c>
      <c r="T29" s="206">
        <v>0.55000000000000104</v>
      </c>
      <c r="U29" s="208">
        <f t="shared" si="0"/>
        <v>10.547619151321724</v>
      </c>
    </row>
    <row r="30" spans="2:21" x14ac:dyDescent="0.35">
      <c r="Q30" s="206">
        <f t="shared" si="1"/>
        <v>10</v>
      </c>
      <c r="R30" s="207">
        <f t="shared" si="2"/>
        <v>0.60940852456642502</v>
      </c>
      <c r="T30" s="206">
        <v>0.500000000000001</v>
      </c>
      <c r="U30" s="208">
        <f t="shared" si="0"/>
        <v>10.999999999999991</v>
      </c>
    </row>
    <row r="31" spans="2:21" x14ac:dyDescent="0.35">
      <c r="Q31" s="206">
        <f t="shared" si="1"/>
        <v>11</v>
      </c>
      <c r="R31" s="207">
        <f t="shared" si="2"/>
        <v>0.5</v>
      </c>
      <c r="T31" s="206">
        <v>0.45000000000000101</v>
      </c>
      <c r="U31" s="208">
        <f t="shared" si="0"/>
        <v>11.452380848678256</v>
      </c>
    </row>
    <row r="32" spans="2:21" x14ac:dyDescent="0.35">
      <c r="Q32" s="206">
        <f t="shared" si="1"/>
        <v>12</v>
      </c>
      <c r="R32" s="207">
        <f t="shared" si="2"/>
        <v>0.39059147543357498</v>
      </c>
      <c r="T32" s="206">
        <v>0.40000000000000102</v>
      </c>
      <c r="U32" s="208">
        <f t="shared" si="0"/>
        <v>11.91204957128887</v>
      </c>
    </row>
    <row r="33" spans="17:21" x14ac:dyDescent="0.35">
      <c r="Q33" s="206">
        <f t="shared" si="1"/>
        <v>13</v>
      </c>
      <c r="R33" s="207">
        <f t="shared" si="2"/>
        <v>0.2892573607539719</v>
      </c>
      <c r="T33" s="206">
        <v>0.35000000000000098</v>
      </c>
      <c r="U33" s="208">
        <f t="shared" si="0"/>
        <v>12.387153679067234</v>
      </c>
    </row>
    <row r="34" spans="17:21" x14ac:dyDescent="0.35">
      <c r="Q34" s="206">
        <f t="shared" si="1"/>
        <v>14</v>
      </c>
      <c r="R34" s="207">
        <f t="shared" si="2"/>
        <v>0.20232838096364303</v>
      </c>
      <c r="T34" s="206">
        <v>0.30000000000000099</v>
      </c>
      <c r="U34" s="208">
        <f t="shared" si="0"/>
        <v>12.887841845748937</v>
      </c>
    </row>
    <row r="35" spans="17:21" x14ac:dyDescent="0.35">
      <c r="Q35" s="206">
        <f t="shared" si="1"/>
        <v>15</v>
      </c>
      <c r="R35" s="207">
        <f t="shared" si="2"/>
        <v>0.13326026290250548</v>
      </c>
      <c r="T35" s="206">
        <v>0.250000000000001</v>
      </c>
      <c r="U35" s="208">
        <f t="shared" si="0"/>
        <v>13.428163100705882</v>
      </c>
    </row>
    <row r="36" spans="17:21" x14ac:dyDescent="0.35">
      <c r="Q36" s="206">
        <f t="shared" si="1"/>
        <v>16</v>
      </c>
      <c r="R36" s="207">
        <f t="shared" si="2"/>
        <v>8.2433269873954496E-2</v>
      </c>
      <c r="T36" s="206">
        <v>0.20000000000000101</v>
      </c>
      <c r="U36" s="208">
        <f t="shared" si="0"/>
        <v>14.029836440862478</v>
      </c>
    </row>
    <row r="37" spans="17:21" x14ac:dyDescent="0.35">
      <c r="Q37" s="206">
        <f t="shared" si="1"/>
        <v>17</v>
      </c>
      <c r="R37" s="207">
        <f t="shared" si="2"/>
        <v>4.7790352272814696E-2</v>
      </c>
      <c r="T37" s="206">
        <v>0.15000000000000099</v>
      </c>
      <c r="U37" s="208">
        <f t="shared" si="0"/>
        <v>14.73116020217763</v>
      </c>
    </row>
    <row r="38" spans="17:21" x14ac:dyDescent="0.35">
      <c r="Q38" s="206">
        <f t="shared" si="1"/>
        <v>18</v>
      </c>
      <c r="R38" s="207">
        <f t="shared" si="2"/>
        <v>2.5920939357843009E-2</v>
      </c>
      <c r="T38" s="206">
        <v>0.100000000000001</v>
      </c>
      <c r="U38" s="208">
        <f t="shared" si="0"/>
        <v>15.613585635960543</v>
      </c>
    </row>
    <row r="39" spans="17:21" x14ac:dyDescent="0.35">
      <c r="Q39" s="206">
        <f t="shared" si="1"/>
        <v>19</v>
      </c>
      <c r="R39" s="207">
        <f t="shared" si="2"/>
        <v>1.3134145691021115E-2</v>
      </c>
      <c r="T39" s="206">
        <v>5.0000000000000898E-2</v>
      </c>
      <c r="U39" s="208">
        <f t="shared" si="0"/>
        <v>16.921473057025267</v>
      </c>
    </row>
    <row r="40" spans="17:21" x14ac:dyDescent="0.35">
      <c r="Q40" s="206">
        <f t="shared" si="1"/>
        <v>20</v>
      </c>
      <c r="R40" s="207">
        <f t="shared" si="2"/>
        <v>6.2096653257761592E-3</v>
      </c>
    </row>
    <row r="41" spans="17:21" x14ac:dyDescent="0.35">
      <c r="Q41" s="206">
        <f t="shared" si="1"/>
        <v>21</v>
      </c>
      <c r="R41" s="207">
        <f t="shared" si="2"/>
        <v>2.7366017862441305E-3</v>
      </c>
    </row>
    <row r="42" spans="17:21" x14ac:dyDescent="0.35">
      <c r="Q42" s="206">
        <f t="shared" si="1"/>
        <v>22</v>
      </c>
      <c r="R42" s="207">
        <f t="shared" si="2"/>
        <v>1.1232199025031919E-3</v>
      </c>
    </row>
    <row r="43" spans="17:21" x14ac:dyDescent="0.35">
      <c r="Q43" s="206">
        <f t="shared" si="1"/>
        <v>23</v>
      </c>
      <c r="R43" s="207">
        <f t="shared" si="2"/>
        <v>4.290603331967846E-4</v>
      </c>
    </row>
    <row r="44" spans="17:21" x14ac:dyDescent="0.35">
      <c r="Q44" s="206">
        <f t="shared" si="1"/>
        <v>24</v>
      </c>
      <c r="R44" s="207">
        <f t="shared" si="2"/>
        <v>1.5244399873548531E-4</v>
      </c>
    </row>
    <row r="45" spans="17:21" x14ac:dyDescent="0.35">
      <c r="Q45" s="206">
        <f t="shared" si="1"/>
        <v>25</v>
      </c>
      <c r="R45" s="207">
        <f t="shared" si="2"/>
        <v>5.0352102926809472E-5</v>
      </c>
    </row>
    <row r="46" spans="17:21" x14ac:dyDescent="0.35">
      <c r="Q46" s="206">
        <f t="shared" si="1"/>
        <v>26</v>
      </c>
      <c r="R46" s="207">
        <f t="shared" si="2"/>
        <v>1.545429688232236E-5</v>
      </c>
    </row>
    <row r="47" spans="17:21" x14ac:dyDescent="0.35">
      <c r="Q47" s="206">
        <f t="shared" si="1"/>
        <v>27</v>
      </c>
      <c r="R47" s="207">
        <f t="shared" si="2"/>
        <v>4.4059637025473108E-6</v>
      </c>
    </row>
    <row r="48" spans="17:21" x14ac:dyDescent="0.35">
      <c r="Q48" s="206">
        <f t="shared" si="1"/>
        <v>28</v>
      </c>
      <c r="R48" s="207">
        <f t="shared" si="2"/>
        <v>1.1664079259121607E-6</v>
      </c>
    </row>
    <row r="49" spans="4:18" x14ac:dyDescent="0.35">
      <c r="Q49" s="206">
        <f t="shared" si="1"/>
        <v>29</v>
      </c>
      <c r="R49" s="207">
        <f t="shared" si="2"/>
        <v>2.8665157192353519E-7</v>
      </c>
    </row>
    <row r="50" spans="4:18" x14ac:dyDescent="0.35">
      <c r="Q50" s="206">
        <f t="shared" si="1"/>
        <v>30</v>
      </c>
      <c r="R50" s="207">
        <f t="shared" si="2"/>
        <v>6.5379949898414225E-8</v>
      </c>
    </row>
    <row r="56" spans="4:18" x14ac:dyDescent="0.35">
      <c r="D56" s="207"/>
    </row>
    <row r="57" spans="4:18" x14ac:dyDescent="0.35">
      <c r="D57" s="207"/>
    </row>
    <row r="58" spans="4:18" x14ac:dyDescent="0.35">
      <c r="D58" s="207"/>
    </row>
  </sheetData>
  <sheetProtection algorithmName="SHA-512" hashValue="zC7DENrp67u+K3alGKK3DrBMD/W6H8CNAYuWw8Ma98Tujdjs8v0QkggQr75vW5ZIERVtdjtJgVOmOAJif/W8xA==" saltValue="1dI1bJDtH6rq4fEUC123aA==" spinCount="100000" sheet="1" objects="1" scenarios="1"/>
  <mergeCells count="1">
    <mergeCell ref="B3:M5"/>
  </mergeCells>
  <dataValidations count="1">
    <dataValidation type="whole" allowBlank="1" showInputMessage="1" showErrorMessage="1" prompt="Kuinka monta poutapäivää haluat käyttää työntekoon" sqref="D13" xr:uid="{016144D2-ADDE-405A-A76F-77ED2744ED4E}">
      <formula1>1</formula1>
      <formula2>30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07294-2030-4144-823D-2A9F173E277A}">
  <sheetPr codeName="Sheet3"/>
  <dimension ref="A1:O15"/>
  <sheetViews>
    <sheetView workbookViewId="0">
      <selection activeCell="H40" sqref="H40"/>
    </sheetView>
  </sheetViews>
  <sheetFormatPr defaultRowHeight="12.5" x14ac:dyDescent="0.25"/>
  <cols>
    <col min="2" max="2" width="29.81640625" bestFit="1" customWidth="1"/>
    <col min="5" max="5" width="22.26953125" bestFit="1" customWidth="1"/>
    <col min="8" max="8" width="22.54296875" bestFit="1" customWidth="1"/>
  </cols>
  <sheetData>
    <row r="1" spans="1:15" ht="13" x14ac:dyDescent="0.3">
      <c r="A1" s="2" t="s">
        <v>413</v>
      </c>
    </row>
    <row r="2" spans="1:15" x14ac:dyDescent="0.25">
      <c r="B2" s="227" t="s">
        <v>412</v>
      </c>
      <c r="C2" s="227"/>
      <c r="D2" s="227"/>
      <c r="E2" s="227"/>
      <c r="F2" s="227"/>
      <c r="G2" s="227"/>
      <c r="H2" s="227"/>
      <c r="I2" s="227"/>
      <c r="J2" s="227"/>
      <c r="K2" s="227"/>
      <c r="L2" s="227"/>
      <c r="M2" s="227"/>
      <c r="N2" s="227"/>
      <c r="O2" s="227"/>
    </row>
    <row r="3" spans="1:15" x14ac:dyDescent="0.25">
      <c r="B3" s="227"/>
      <c r="C3" s="227"/>
      <c r="D3" s="227"/>
      <c r="E3" s="227"/>
      <c r="F3" s="227"/>
      <c r="G3" s="227"/>
      <c r="H3" s="227"/>
      <c r="I3" s="227"/>
      <c r="J3" s="227"/>
      <c r="K3" s="227"/>
      <c r="L3" s="227"/>
      <c r="M3" s="227"/>
      <c r="N3" s="227"/>
      <c r="O3" s="227"/>
    </row>
    <row r="4" spans="1:15" x14ac:dyDescent="0.25">
      <c r="B4" s="227"/>
      <c r="C4" s="227"/>
      <c r="D4" s="227"/>
      <c r="E4" s="227"/>
      <c r="F4" s="227"/>
      <c r="G4" s="227"/>
      <c r="H4" s="227"/>
      <c r="I4" s="227"/>
      <c r="J4" s="227"/>
      <c r="K4" s="227"/>
      <c r="L4" s="227"/>
      <c r="M4" s="227"/>
      <c r="N4" s="227"/>
      <c r="O4" s="227"/>
    </row>
    <row r="5" spans="1:15" x14ac:dyDescent="0.25">
      <c r="B5" s="227"/>
      <c r="C5" s="227"/>
      <c r="D5" s="227"/>
      <c r="E5" s="227"/>
      <c r="F5" s="227"/>
      <c r="G5" s="227"/>
      <c r="H5" s="227"/>
      <c r="I5" s="227"/>
      <c r="J5" s="227"/>
      <c r="K5" s="227"/>
      <c r="L5" s="227"/>
      <c r="M5" s="227"/>
      <c r="N5" s="227"/>
      <c r="O5" s="227"/>
    </row>
    <row r="6" spans="1:15" x14ac:dyDescent="0.25">
      <c r="B6" s="227"/>
      <c r="C6" s="227"/>
      <c r="D6" s="227"/>
      <c r="E6" s="227"/>
      <c r="F6" s="227"/>
      <c r="G6" s="227"/>
      <c r="H6" s="227"/>
      <c r="I6" s="227"/>
      <c r="J6" s="227"/>
      <c r="K6" s="227"/>
      <c r="L6" s="227"/>
      <c r="M6" s="227"/>
      <c r="N6" s="227"/>
      <c r="O6" s="227"/>
    </row>
    <row r="8" spans="1:15" ht="13" x14ac:dyDescent="0.3">
      <c r="B8" s="2" t="s">
        <v>411</v>
      </c>
      <c r="E8" s="2" t="s">
        <v>410</v>
      </c>
      <c r="H8" s="2" t="s">
        <v>409</v>
      </c>
    </row>
    <row r="9" spans="1:15" ht="15.5" x14ac:dyDescent="0.4">
      <c r="B9" t="s">
        <v>408</v>
      </c>
      <c r="C9" s="34">
        <v>0.85</v>
      </c>
      <c r="E9" t="s">
        <v>407</v>
      </c>
      <c r="F9" s="34">
        <v>0.55000000000000004</v>
      </c>
      <c r="H9" t="s">
        <v>406</v>
      </c>
      <c r="I9" s="34">
        <v>0.88</v>
      </c>
    </row>
    <row r="12" spans="1:15" x14ac:dyDescent="0.25">
      <c r="B12" t="s">
        <v>405</v>
      </c>
      <c r="D12" s="205">
        <f>C9+(1-C9)*F9</f>
        <v>0.9325</v>
      </c>
    </row>
    <row r="13" spans="1:15" x14ac:dyDescent="0.25">
      <c r="B13" t="s">
        <v>404</v>
      </c>
      <c r="D13" s="205">
        <f>C9+(1-C9)*I9</f>
        <v>0.98199999999999998</v>
      </c>
    </row>
    <row r="14" spans="1:15" x14ac:dyDescent="0.25">
      <c r="B14" t="s">
        <v>403</v>
      </c>
      <c r="D14" s="205">
        <f>F9+(1-F9)*I9</f>
        <v>0.94599999999999995</v>
      </c>
    </row>
    <row r="15" spans="1:15" x14ac:dyDescent="0.25">
      <c r="B15" t="s">
        <v>402</v>
      </c>
      <c r="D15" s="205">
        <f>D12+(1-D12)*I9</f>
        <v>0.9919</v>
      </c>
    </row>
  </sheetData>
  <sheetProtection algorithmName="SHA-512" hashValue="UfZOg2b7yt/QPuNe9fpEtm3pZ+vjbe0Rd4x5EtZ0UH4RdGzYzKB9DWa6BFDRmUJouk2oV6hOysqcFZ2sqJE+Mw==" saltValue="pzhXIZYb1HeS2FIwxBKF9g==" spinCount="100000" sheet="1" objects="1" scenarios="1"/>
  <mergeCells count="1">
    <mergeCell ref="B2:O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3B4A4-2D5C-4B34-A34B-DB9BEE79892C}">
  <sheetPr codeName="Sheet4"/>
  <dimension ref="A1:J52"/>
  <sheetViews>
    <sheetView topLeftCell="A27" zoomScaleNormal="100" workbookViewId="0">
      <selection activeCell="L53" sqref="L53"/>
    </sheetView>
  </sheetViews>
  <sheetFormatPr defaultRowHeight="12.5" x14ac:dyDescent="0.25"/>
  <cols>
    <col min="1" max="1" width="13.1796875" bestFit="1" customWidth="1"/>
    <col min="2" max="2" width="25.54296875" bestFit="1" customWidth="1"/>
    <col min="5" max="5" width="30.81640625" customWidth="1"/>
    <col min="255" max="255" width="9.54296875" bestFit="1" customWidth="1"/>
    <col min="256" max="256" width="21.1796875" bestFit="1" customWidth="1"/>
    <col min="511" max="511" width="9.54296875" bestFit="1" customWidth="1"/>
    <col min="512" max="512" width="21.1796875" bestFit="1" customWidth="1"/>
    <col min="767" max="767" width="9.54296875" bestFit="1" customWidth="1"/>
    <col min="768" max="768" width="21.1796875" bestFit="1" customWidth="1"/>
    <col min="1023" max="1023" width="9.54296875" bestFit="1" customWidth="1"/>
    <col min="1024" max="1024" width="21.1796875" bestFit="1" customWidth="1"/>
    <col min="1279" max="1279" width="9.54296875" bestFit="1" customWidth="1"/>
    <col min="1280" max="1280" width="21.1796875" bestFit="1" customWidth="1"/>
    <col min="1535" max="1535" width="9.54296875" bestFit="1" customWidth="1"/>
    <col min="1536" max="1536" width="21.1796875" bestFit="1" customWidth="1"/>
    <col min="1791" max="1791" width="9.54296875" bestFit="1" customWidth="1"/>
    <col min="1792" max="1792" width="21.1796875" bestFit="1" customWidth="1"/>
    <col min="2047" max="2047" width="9.54296875" bestFit="1" customWidth="1"/>
    <col min="2048" max="2048" width="21.1796875" bestFit="1" customWidth="1"/>
    <col min="2303" max="2303" width="9.54296875" bestFit="1" customWidth="1"/>
    <col min="2304" max="2304" width="21.1796875" bestFit="1" customWidth="1"/>
    <col min="2559" max="2559" width="9.54296875" bestFit="1" customWidth="1"/>
    <col min="2560" max="2560" width="21.1796875" bestFit="1" customWidth="1"/>
    <col min="2815" max="2815" width="9.54296875" bestFit="1" customWidth="1"/>
    <col min="2816" max="2816" width="21.1796875" bestFit="1" customWidth="1"/>
    <col min="3071" max="3071" width="9.54296875" bestFit="1" customWidth="1"/>
    <col min="3072" max="3072" width="21.1796875" bestFit="1" customWidth="1"/>
    <col min="3327" max="3327" width="9.54296875" bestFit="1" customWidth="1"/>
    <col min="3328" max="3328" width="21.1796875" bestFit="1" customWidth="1"/>
    <col min="3583" max="3583" width="9.54296875" bestFit="1" customWidth="1"/>
    <col min="3584" max="3584" width="21.1796875" bestFit="1" customWidth="1"/>
    <col min="3839" max="3839" width="9.54296875" bestFit="1" customWidth="1"/>
    <col min="3840" max="3840" width="21.1796875" bestFit="1" customWidth="1"/>
    <col min="4095" max="4095" width="9.54296875" bestFit="1" customWidth="1"/>
    <col min="4096" max="4096" width="21.1796875" bestFit="1" customWidth="1"/>
    <col min="4351" max="4351" width="9.54296875" bestFit="1" customWidth="1"/>
    <col min="4352" max="4352" width="21.1796875" bestFit="1" customWidth="1"/>
    <col min="4607" max="4607" width="9.54296875" bestFit="1" customWidth="1"/>
    <col min="4608" max="4608" width="21.1796875" bestFit="1" customWidth="1"/>
    <col min="4863" max="4863" width="9.54296875" bestFit="1" customWidth="1"/>
    <col min="4864" max="4864" width="21.1796875" bestFit="1" customWidth="1"/>
    <col min="5119" max="5119" width="9.54296875" bestFit="1" customWidth="1"/>
    <col min="5120" max="5120" width="21.1796875" bestFit="1" customWidth="1"/>
    <col min="5375" max="5375" width="9.54296875" bestFit="1" customWidth="1"/>
    <col min="5376" max="5376" width="21.1796875" bestFit="1" customWidth="1"/>
    <col min="5631" max="5631" width="9.54296875" bestFit="1" customWidth="1"/>
    <col min="5632" max="5632" width="21.1796875" bestFit="1" customWidth="1"/>
    <col min="5887" max="5887" width="9.54296875" bestFit="1" customWidth="1"/>
    <col min="5888" max="5888" width="21.1796875" bestFit="1" customWidth="1"/>
    <col min="6143" max="6143" width="9.54296875" bestFit="1" customWidth="1"/>
    <col min="6144" max="6144" width="21.1796875" bestFit="1" customWidth="1"/>
    <col min="6399" max="6399" width="9.54296875" bestFit="1" customWidth="1"/>
    <col min="6400" max="6400" width="21.1796875" bestFit="1" customWidth="1"/>
    <col min="6655" max="6655" width="9.54296875" bestFit="1" customWidth="1"/>
    <col min="6656" max="6656" width="21.1796875" bestFit="1" customWidth="1"/>
    <col min="6911" max="6911" width="9.54296875" bestFit="1" customWidth="1"/>
    <col min="6912" max="6912" width="21.1796875" bestFit="1" customWidth="1"/>
    <col min="7167" max="7167" width="9.54296875" bestFit="1" customWidth="1"/>
    <col min="7168" max="7168" width="21.1796875" bestFit="1" customWidth="1"/>
    <col min="7423" max="7423" width="9.54296875" bestFit="1" customWidth="1"/>
    <col min="7424" max="7424" width="21.1796875" bestFit="1" customWidth="1"/>
    <col min="7679" max="7679" width="9.54296875" bestFit="1" customWidth="1"/>
    <col min="7680" max="7680" width="21.1796875" bestFit="1" customWidth="1"/>
    <col min="7935" max="7935" width="9.54296875" bestFit="1" customWidth="1"/>
    <col min="7936" max="7936" width="21.1796875" bestFit="1" customWidth="1"/>
    <col min="8191" max="8191" width="9.54296875" bestFit="1" customWidth="1"/>
    <col min="8192" max="8192" width="21.1796875" bestFit="1" customWidth="1"/>
    <col min="8447" max="8447" width="9.54296875" bestFit="1" customWidth="1"/>
    <col min="8448" max="8448" width="21.1796875" bestFit="1" customWidth="1"/>
    <col min="8703" max="8703" width="9.54296875" bestFit="1" customWidth="1"/>
    <col min="8704" max="8704" width="21.1796875" bestFit="1" customWidth="1"/>
    <col min="8959" max="8959" width="9.54296875" bestFit="1" customWidth="1"/>
    <col min="8960" max="8960" width="21.1796875" bestFit="1" customWidth="1"/>
    <col min="9215" max="9215" width="9.54296875" bestFit="1" customWidth="1"/>
    <col min="9216" max="9216" width="21.1796875" bestFit="1" customWidth="1"/>
    <col min="9471" max="9471" width="9.54296875" bestFit="1" customWidth="1"/>
    <col min="9472" max="9472" width="21.1796875" bestFit="1" customWidth="1"/>
    <col min="9727" max="9727" width="9.54296875" bestFit="1" customWidth="1"/>
    <col min="9728" max="9728" width="21.1796875" bestFit="1" customWidth="1"/>
    <col min="9983" max="9983" width="9.54296875" bestFit="1" customWidth="1"/>
    <col min="9984" max="9984" width="21.1796875" bestFit="1" customWidth="1"/>
    <col min="10239" max="10239" width="9.54296875" bestFit="1" customWidth="1"/>
    <col min="10240" max="10240" width="21.1796875" bestFit="1" customWidth="1"/>
    <col min="10495" max="10495" width="9.54296875" bestFit="1" customWidth="1"/>
    <col min="10496" max="10496" width="21.1796875" bestFit="1" customWidth="1"/>
    <col min="10751" max="10751" width="9.54296875" bestFit="1" customWidth="1"/>
    <col min="10752" max="10752" width="21.1796875" bestFit="1" customWidth="1"/>
    <col min="11007" max="11007" width="9.54296875" bestFit="1" customWidth="1"/>
    <col min="11008" max="11008" width="21.1796875" bestFit="1" customWidth="1"/>
    <col min="11263" max="11263" width="9.54296875" bestFit="1" customWidth="1"/>
    <col min="11264" max="11264" width="21.1796875" bestFit="1" customWidth="1"/>
    <col min="11519" max="11519" width="9.54296875" bestFit="1" customWidth="1"/>
    <col min="11520" max="11520" width="21.1796875" bestFit="1" customWidth="1"/>
    <col min="11775" max="11775" width="9.54296875" bestFit="1" customWidth="1"/>
    <col min="11776" max="11776" width="21.1796875" bestFit="1" customWidth="1"/>
    <col min="12031" max="12031" width="9.54296875" bestFit="1" customWidth="1"/>
    <col min="12032" max="12032" width="21.1796875" bestFit="1" customWidth="1"/>
    <col min="12287" max="12287" width="9.54296875" bestFit="1" customWidth="1"/>
    <col min="12288" max="12288" width="21.1796875" bestFit="1" customWidth="1"/>
    <col min="12543" max="12543" width="9.54296875" bestFit="1" customWidth="1"/>
    <col min="12544" max="12544" width="21.1796875" bestFit="1" customWidth="1"/>
    <col min="12799" max="12799" width="9.54296875" bestFit="1" customWidth="1"/>
    <col min="12800" max="12800" width="21.1796875" bestFit="1" customWidth="1"/>
    <col min="13055" max="13055" width="9.54296875" bestFit="1" customWidth="1"/>
    <col min="13056" max="13056" width="21.1796875" bestFit="1" customWidth="1"/>
    <col min="13311" max="13311" width="9.54296875" bestFit="1" customWidth="1"/>
    <col min="13312" max="13312" width="21.1796875" bestFit="1" customWidth="1"/>
    <col min="13567" max="13567" width="9.54296875" bestFit="1" customWidth="1"/>
    <col min="13568" max="13568" width="21.1796875" bestFit="1" customWidth="1"/>
    <col min="13823" max="13823" width="9.54296875" bestFit="1" customWidth="1"/>
    <col min="13824" max="13824" width="21.1796875" bestFit="1" customWidth="1"/>
    <col min="14079" max="14079" width="9.54296875" bestFit="1" customWidth="1"/>
    <col min="14080" max="14080" width="21.1796875" bestFit="1" customWidth="1"/>
    <col min="14335" max="14335" width="9.54296875" bestFit="1" customWidth="1"/>
    <col min="14336" max="14336" width="21.1796875" bestFit="1" customWidth="1"/>
    <col min="14591" max="14591" width="9.54296875" bestFit="1" customWidth="1"/>
    <col min="14592" max="14592" width="21.1796875" bestFit="1" customWidth="1"/>
    <col min="14847" max="14847" width="9.54296875" bestFit="1" customWidth="1"/>
    <col min="14848" max="14848" width="21.1796875" bestFit="1" customWidth="1"/>
    <col min="15103" max="15103" width="9.54296875" bestFit="1" customWidth="1"/>
    <col min="15104" max="15104" width="21.1796875" bestFit="1" customWidth="1"/>
    <col min="15359" max="15359" width="9.54296875" bestFit="1" customWidth="1"/>
    <col min="15360" max="15360" width="21.1796875" bestFit="1" customWidth="1"/>
    <col min="15615" max="15615" width="9.54296875" bestFit="1" customWidth="1"/>
    <col min="15616" max="15616" width="21.1796875" bestFit="1" customWidth="1"/>
    <col min="15871" max="15871" width="9.54296875" bestFit="1" customWidth="1"/>
    <col min="15872" max="15872" width="21.1796875" bestFit="1" customWidth="1"/>
    <col min="16127" max="16127" width="9.54296875" bestFit="1" customWidth="1"/>
    <col min="16128" max="16128" width="21.1796875" bestFit="1" customWidth="1"/>
  </cols>
  <sheetData>
    <row r="1" spans="1:10" ht="13" x14ac:dyDescent="0.3">
      <c r="A1" s="2" t="s">
        <v>401</v>
      </c>
    </row>
    <row r="2" spans="1:10" ht="48" customHeight="1" x14ac:dyDescent="0.25">
      <c r="B2" s="228" t="s">
        <v>400</v>
      </c>
      <c r="C2" s="228"/>
      <c r="D2" s="228"/>
      <c r="E2" s="228"/>
      <c r="F2" s="228"/>
      <c r="G2" s="228"/>
      <c r="H2" s="228"/>
      <c r="I2" s="228"/>
      <c r="J2" s="228"/>
    </row>
    <row r="3" spans="1:10" ht="12.65" customHeight="1" x14ac:dyDescent="0.25">
      <c r="D3" s="200"/>
      <c r="E3" s="200"/>
      <c r="F3" s="200"/>
      <c r="G3" s="200"/>
      <c r="H3" s="200"/>
      <c r="I3" s="200"/>
      <c r="J3" s="200"/>
    </row>
    <row r="4" spans="1:10" ht="12.65" customHeight="1" x14ac:dyDescent="0.25">
      <c r="C4" s="200"/>
      <c r="D4" s="200"/>
      <c r="E4" s="200"/>
      <c r="F4" s="200"/>
      <c r="G4" s="200"/>
      <c r="H4" s="200"/>
      <c r="I4" s="200"/>
      <c r="J4" s="200"/>
    </row>
    <row r="5" spans="1:10" ht="12.65" customHeight="1" x14ac:dyDescent="0.25">
      <c r="C5" s="200"/>
      <c r="D5" s="200"/>
      <c r="E5" s="200"/>
      <c r="F5" s="200"/>
      <c r="G5" s="200"/>
      <c r="H5" s="200"/>
      <c r="I5" s="200"/>
      <c r="J5" s="200"/>
    </row>
    <row r="8" spans="1:10" ht="13" thickBot="1" x14ac:dyDescent="0.3"/>
    <row r="9" spans="1:10" ht="15.5" x14ac:dyDescent="0.35">
      <c r="A9" s="110" t="s">
        <v>114</v>
      </c>
      <c r="B9" s="193" t="s">
        <v>185</v>
      </c>
      <c r="C9" s="204">
        <v>75</v>
      </c>
      <c r="D9" s="191" t="s">
        <v>186</v>
      </c>
      <c r="E9" s="191" t="s">
        <v>442</v>
      </c>
      <c r="F9" s="190">
        <f>C9/C10</f>
        <v>7.5</v>
      </c>
      <c r="G9" s="191" t="s">
        <v>362</v>
      </c>
      <c r="H9" s="183"/>
      <c r="I9" s="183"/>
      <c r="J9" s="113"/>
    </row>
    <row r="10" spans="1:10" ht="14.5" x14ac:dyDescent="0.35">
      <c r="B10" s="171" t="s">
        <v>378</v>
      </c>
      <c r="C10" s="170">
        <v>10</v>
      </c>
      <c r="D10" s="5" t="s">
        <v>350</v>
      </c>
      <c r="F10" s="6"/>
      <c r="G10" s="5"/>
      <c r="J10" s="115"/>
    </row>
    <row r="11" spans="1:10" ht="15" thickBot="1" x14ac:dyDescent="0.4">
      <c r="B11" s="188"/>
      <c r="C11" s="203"/>
      <c r="D11" s="161"/>
      <c r="E11" s="161"/>
      <c r="F11" s="161"/>
      <c r="G11" s="161"/>
      <c r="H11" s="161"/>
      <c r="I11" s="161"/>
      <c r="J11" s="119"/>
    </row>
    <row r="12" spans="1:10" ht="13" thickBot="1" x14ac:dyDescent="0.3"/>
    <row r="13" spans="1:10" ht="15.5" x14ac:dyDescent="0.35">
      <c r="A13" s="110" t="s">
        <v>373</v>
      </c>
      <c r="B13" s="193" t="s">
        <v>388</v>
      </c>
      <c r="C13" s="167">
        <v>10</v>
      </c>
      <c r="D13" s="183" t="s">
        <v>360</v>
      </c>
      <c r="E13" s="191"/>
      <c r="F13" s="183"/>
      <c r="G13" s="183"/>
      <c r="H13" s="183"/>
      <c r="I13" s="183"/>
      <c r="J13" s="113"/>
    </row>
    <row r="14" spans="1:10" ht="15.5" x14ac:dyDescent="0.35">
      <c r="A14" s="110"/>
      <c r="B14" s="114"/>
      <c r="E14" s="5"/>
      <c r="F14" s="6"/>
      <c r="J14" s="115"/>
    </row>
    <row r="15" spans="1:10" ht="15.5" x14ac:dyDescent="0.35">
      <c r="A15" s="110"/>
      <c r="B15" s="178" t="s">
        <v>377</v>
      </c>
      <c r="J15" s="115"/>
    </row>
    <row r="16" spans="1:10" ht="14.5" x14ac:dyDescent="0.35">
      <c r="B16" s="171" t="s">
        <v>366</v>
      </c>
      <c r="C16" s="167">
        <v>12</v>
      </c>
      <c r="D16" s="5" t="s">
        <v>21</v>
      </c>
      <c r="E16" s="5" t="s">
        <v>365</v>
      </c>
      <c r="F16" s="6">
        <f>IF(C22&gt;0,C19*C16*C17/10*C18*C20*C21*C22,0)</f>
        <v>8.745224999999996</v>
      </c>
      <c r="G16" s="5" t="s">
        <v>195</v>
      </c>
      <c r="H16" t="s">
        <v>364</v>
      </c>
      <c r="J16" s="115"/>
    </row>
    <row r="17" spans="2:10" ht="14.5" x14ac:dyDescent="0.35">
      <c r="B17" s="171" t="s">
        <v>363</v>
      </c>
      <c r="C17" s="182">
        <v>10</v>
      </c>
      <c r="D17" s="5" t="s">
        <v>7</v>
      </c>
      <c r="E17" s="5" t="s">
        <v>359</v>
      </c>
      <c r="F17" s="6">
        <f>IF(C22&gt;0,C9/F16,0)</f>
        <v>8.5761086764491523</v>
      </c>
      <c r="G17" s="5" t="s">
        <v>284</v>
      </c>
      <c r="H17" s="5" t="s">
        <v>358</v>
      </c>
      <c r="J17" s="115"/>
    </row>
    <row r="18" spans="2:10" ht="14.5" x14ac:dyDescent="0.35">
      <c r="B18" s="171" t="s">
        <v>357</v>
      </c>
      <c r="C18" s="167">
        <v>0.85</v>
      </c>
      <c r="F18" s="6">
        <f>F17/C13</f>
        <v>0.85761086764491523</v>
      </c>
      <c r="G18" t="s">
        <v>350</v>
      </c>
      <c r="J18" s="115"/>
    </row>
    <row r="19" spans="2:10" ht="14.5" x14ac:dyDescent="0.35">
      <c r="B19" s="114" t="s">
        <v>370</v>
      </c>
      <c r="C19" s="167">
        <v>0.95</v>
      </c>
      <c r="J19" s="115"/>
    </row>
    <row r="20" spans="2:10" ht="14.5" x14ac:dyDescent="0.35">
      <c r="B20" s="114" t="s">
        <v>369</v>
      </c>
      <c r="C20" s="167">
        <v>0.95</v>
      </c>
      <c r="J20" s="115"/>
    </row>
    <row r="21" spans="2:10" ht="14.5" x14ac:dyDescent="0.35">
      <c r="B21" s="114" t="s">
        <v>356</v>
      </c>
      <c r="C21" s="167">
        <v>0.95</v>
      </c>
      <c r="J21" s="115"/>
    </row>
    <row r="22" spans="2:10" ht="14.5" x14ac:dyDescent="0.35">
      <c r="B22" s="114" t="s">
        <v>368</v>
      </c>
      <c r="C22" s="167">
        <v>1</v>
      </c>
      <c r="J22" s="115"/>
    </row>
    <row r="23" spans="2:10" x14ac:dyDescent="0.25">
      <c r="B23" s="114"/>
      <c r="J23" s="115"/>
    </row>
    <row r="24" spans="2:10" x14ac:dyDescent="0.25">
      <c r="B24" s="178" t="s">
        <v>373</v>
      </c>
      <c r="J24" s="115"/>
    </row>
    <row r="25" spans="2:10" ht="14.5" x14ac:dyDescent="0.35">
      <c r="B25" s="171" t="s">
        <v>366</v>
      </c>
      <c r="C25" s="167">
        <v>10</v>
      </c>
      <c r="D25" s="5" t="s">
        <v>21</v>
      </c>
      <c r="E25" s="5" t="s">
        <v>399</v>
      </c>
      <c r="F25" s="6">
        <f>C28*C30*C25*C26/10*C27*C29</f>
        <v>3.8723329879915767</v>
      </c>
      <c r="G25" s="5" t="s">
        <v>195</v>
      </c>
      <c r="H25" t="s">
        <v>364</v>
      </c>
      <c r="J25" s="115"/>
    </row>
    <row r="26" spans="2:10" ht="14.5" x14ac:dyDescent="0.35">
      <c r="B26" s="171" t="s">
        <v>363</v>
      </c>
      <c r="C26" s="182">
        <v>5.31352776582637</v>
      </c>
      <c r="D26" s="5" t="s">
        <v>7</v>
      </c>
      <c r="E26" t="s">
        <v>372</v>
      </c>
      <c r="F26" s="6">
        <f>F25/C31</f>
        <v>1.9361664939957883</v>
      </c>
      <c r="G26" s="5" t="s">
        <v>195</v>
      </c>
      <c r="J26" s="115"/>
    </row>
    <row r="27" spans="2:10" ht="14.5" x14ac:dyDescent="0.35">
      <c r="B27" s="171" t="s">
        <v>357</v>
      </c>
      <c r="C27" s="167">
        <v>0.85</v>
      </c>
      <c r="E27" s="5" t="s">
        <v>359</v>
      </c>
      <c r="F27" s="6">
        <f>+C9/F25*C31</f>
        <v>38.736338136509012</v>
      </c>
      <c r="G27" s="5" t="s">
        <v>284</v>
      </c>
      <c r="H27" s="5" t="s">
        <v>371</v>
      </c>
      <c r="J27" s="115"/>
    </row>
    <row r="28" spans="2:10" ht="14.5" x14ac:dyDescent="0.35">
      <c r="B28" s="114" t="s">
        <v>370</v>
      </c>
      <c r="C28" s="167">
        <v>0.95</v>
      </c>
      <c r="F28" s="6">
        <f>F27/C13</f>
        <v>3.8736338136509012</v>
      </c>
      <c r="G28" t="s">
        <v>350</v>
      </c>
      <c r="J28" s="115"/>
    </row>
    <row r="29" spans="2:10" ht="14.5" x14ac:dyDescent="0.35">
      <c r="B29" s="114" t="s">
        <v>369</v>
      </c>
      <c r="C29" s="167">
        <v>0.95</v>
      </c>
      <c r="J29" s="115"/>
    </row>
    <row r="30" spans="2:10" ht="14.5" x14ac:dyDescent="0.35">
      <c r="B30" s="114" t="s">
        <v>356</v>
      </c>
      <c r="C30" s="167">
        <v>0.95</v>
      </c>
      <c r="J30" s="115"/>
    </row>
    <row r="31" spans="2:10" ht="14.5" x14ac:dyDescent="0.35">
      <c r="B31" s="171" t="s">
        <v>368</v>
      </c>
      <c r="C31" s="167">
        <v>2</v>
      </c>
      <c r="J31" s="115"/>
    </row>
    <row r="32" spans="2:10" ht="14.5" x14ac:dyDescent="0.35">
      <c r="B32" s="114"/>
      <c r="C32" s="166"/>
      <c r="J32" s="115"/>
    </row>
    <row r="33" spans="1:10" ht="13.5" thickBot="1" x14ac:dyDescent="0.35">
      <c r="B33" s="164" t="s">
        <v>398</v>
      </c>
      <c r="C33" s="202">
        <f>F17+F27</f>
        <v>47.312446812958164</v>
      </c>
      <c r="D33" s="162" t="s">
        <v>191</v>
      </c>
      <c r="E33" s="202">
        <f>C33/C13</f>
        <v>4.7312446812958164</v>
      </c>
      <c r="F33" s="162" t="s">
        <v>350</v>
      </c>
      <c r="G33" s="161"/>
      <c r="H33" s="161"/>
      <c r="I33" s="161"/>
      <c r="J33" s="119"/>
    </row>
    <row r="34" spans="1:10" x14ac:dyDescent="0.25">
      <c r="C34" s="6"/>
    </row>
    <row r="35" spans="1:10" ht="13" thickBot="1" x14ac:dyDescent="0.3"/>
    <row r="36" spans="1:10" ht="15.5" x14ac:dyDescent="0.35">
      <c r="A36" s="110" t="s">
        <v>367</v>
      </c>
      <c r="B36" s="193" t="s">
        <v>388</v>
      </c>
      <c r="C36" s="167">
        <v>8</v>
      </c>
      <c r="D36" s="183" t="s">
        <v>360</v>
      </c>
      <c r="E36" s="191"/>
      <c r="F36" s="183"/>
      <c r="G36" s="183"/>
      <c r="H36" s="183"/>
      <c r="I36" s="183"/>
      <c r="J36" s="113"/>
    </row>
    <row r="37" spans="1:10" ht="15.5" x14ac:dyDescent="0.35">
      <c r="A37" s="110"/>
      <c r="B37" s="114"/>
      <c r="E37" s="5"/>
      <c r="F37" s="6"/>
      <c r="J37" s="115"/>
    </row>
    <row r="38" spans="1:10" ht="15.5" x14ac:dyDescent="0.35">
      <c r="A38" s="110"/>
      <c r="B38" s="178" t="s">
        <v>367</v>
      </c>
      <c r="E38" s="5"/>
      <c r="F38" s="6"/>
      <c r="J38" s="115"/>
    </row>
    <row r="39" spans="1:10" ht="14.5" x14ac:dyDescent="0.35">
      <c r="B39" s="171" t="s">
        <v>366</v>
      </c>
      <c r="C39" s="167">
        <v>7</v>
      </c>
      <c r="D39" s="5" t="s">
        <v>21</v>
      </c>
      <c r="E39" s="5" t="s">
        <v>365</v>
      </c>
      <c r="F39" s="6">
        <f>C39*C40*C41*C42*C43/10</f>
        <v>1.7793576373060245</v>
      </c>
      <c r="G39" s="5" t="s">
        <v>195</v>
      </c>
      <c r="H39" t="s">
        <v>364</v>
      </c>
      <c r="J39" s="115"/>
    </row>
    <row r="40" spans="1:10" ht="14.5" x14ac:dyDescent="0.35">
      <c r="B40" s="171" t="s">
        <v>363</v>
      </c>
      <c r="C40" s="182">
        <v>4.0236477750150366</v>
      </c>
      <c r="D40" s="5" t="s">
        <v>7</v>
      </c>
      <c r="E40" s="5" t="s">
        <v>359</v>
      </c>
      <c r="F40" s="6">
        <f>+C9/F39</f>
        <v>42.150042480246512</v>
      </c>
      <c r="G40" s="5" t="s">
        <v>284</v>
      </c>
      <c r="H40" s="5" t="s">
        <v>358</v>
      </c>
      <c r="J40" s="115"/>
    </row>
    <row r="41" spans="1:10" ht="14.5" x14ac:dyDescent="0.35">
      <c r="B41" s="171" t="s">
        <v>357</v>
      </c>
      <c r="C41" s="167">
        <v>0.7</v>
      </c>
      <c r="J41" s="115"/>
    </row>
    <row r="42" spans="1:10" ht="14.5" x14ac:dyDescent="0.35">
      <c r="B42" s="114" t="s">
        <v>354</v>
      </c>
      <c r="C42" s="167">
        <v>0.95</v>
      </c>
      <c r="J42" s="115"/>
    </row>
    <row r="43" spans="1:10" ht="14.5" x14ac:dyDescent="0.35">
      <c r="B43" s="114" t="s">
        <v>356</v>
      </c>
      <c r="C43" s="167">
        <v>0.95</v>
      </c>
      <c r="J43" s="115"/>
    </row>
    <row r="44" spans="1:10" ht="14.5" x14ac:dyDescent="0.35">
      <c r="B44" s="114"/>
      <c r="C44" s="166"/>
      <c r="J44" s="115"/>
    </row>
    <row r="45" spans="1:10" ht="13.5" thickBot="1" x14ac:dyDescent="0.35">
      <c r="B45" s="164" t="s">
        <v>397</v>
      </c>
      <c r="C45" s="202">
        <f>C9/F39</f>
        <v>42.150042480246512</v>
      </c>
      <c r="D45" s="162" t="s">
        <v>191</v>
      </c>
      <c r="E45" s="202">
        <f>C45/C36</f>
        <v>5.268755310030814</v>
      </c>
      <c r="F45" s="162" t="s">
        <v>350</v>
      </c>
      <c r="G45" s="161"/>
      <c r="H45" s="161"/>
      <c r="I45" s="161"/>
      <c r="J45" s="119"/>
    </row>
    <row r="47" spans="1:10" ht="15.5" x14ac:dyDescent="0.35">
      <c r="A47" s="110" t="s">
        <v>264</v>
      </c>
      <c r="B47" s="2" t="s">
        <v>396</v>
      </c>
      <c r="C47" s="6">
        <f>+F17+F27+F40</f>
        <v>89.462489293204669</v>
      </c>
      <c r="D47" s="5" t="s">
        <v>191</v>
      </c>
      <c r="E47" s="201">
        <f>E33+E45</f>
        <v>9.9999999913266304</v>
      </c>
      <c r="F47" s="2" t="s">
        <v>350</v>
      </c>
    </row>
    <row r="48" spans="1:10" ht="13" x14ac:dyDescent="0.3">
      <c r="B48" s="2" t="s">
        <v>208</v>
      </c>
      <c r="C48" s="4">
        <f>C9/C47</f>
        <v>0.83834018696031076</v>
      </c>
      <c r="D48" t="s">
        <v>195</v>
      </c>
      <c r="E48" s="127">
        <f>C9/E47</f>
        <v>7.5000000065050276</v>
      </c>
      <c r="F48" t="s">
        <v>362</v>
      </c>
    </row>
    <row r="51" spans="2:2" x14ac:dyDescent="0.25">
      <c r="B51" s="5"/>
    </row>
    <row r="52" spans="2:2" x14ac:dyDescent="0.25">
      <c r="B52" s="5"/>
    </row>
  </sheetData>
  <sheetProtection algorithmName="SHA-512" hashValue="zm0Gj91l/mu6b94cMG/lL3nfECde96l5kjkPEQfiS9RmGJwG81Wchil5M4ltaWI1B0xcrGWwdAq+M/RcOXRxBA==" saltValue="2KTs7doOzabEQKn/7DqUiw==" spinCount="100000" sheet="1" objects="1" scenarios="1"/>
  <mergeCells count="1">
    <mergeCell ref="B2:J2"/>
  </mergeCells>
  <pageMargins left="0.7" right="0.7" top="0.75" bottom="0.75" header="0.3" footer="0.3"/>
  <pageSetup paperSize="9" orientation="portrait" horizontalDpi="0" verticalDpi="0" r:id="rId1"/>
  <drawing r:id="rId2"/>
  <picture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CCD20-93A6-41A0-BC64-6AEE9D06A4B9}">
  <sheetPr codeName="Sheet5"/>
  <dimension ref="A1:L201"/>
  <sheetViews>
    <sheetView topLeftCell="A7" workbookViewId="0">
      <selection activeCell="M35" sqref="M35"/>
    </sheetView>
  </sheetViews>
  <sheetFormatPr defaultRowHeight="12.5" x14ac:dyDescent="0.25"/>
  <cols>
    <col min="1" max="1" width="16.7265625" bestFit="1" customWidth="1"/>
    <col min="2" max="2" width="34.54296875" bestFit="1" customWidth="1"/>
    <col min="6" max="6" width="11" customWidth="1"/>
    <col min="8" max="8" width="22.54296875" bestFit="1" customWidth="1"/>
  </cols>
  <sheetData>
    <row r="1" spans="1:12" ht="13" x14ac:dyDescent="0.3">
      <c r="A1" s="2" t="s">
        <v>395</v>
      </c>
    </row>
    <row r="2" spans="1:12" ht="33" customHeight="1" x14ac:dyDescent="0.25">
      <c r="B2" s="228" t="s">
        <v>394</v>
      </c>
      <c r="C2" s="228"/>
      <c r="D2" s="228"/>
      <c r="E2" s="228"/>
      <c r="F2" s="228"/>
    </row>
    <row r="3" spans="1:12" ht="12.65" customHeight="1" x14ac:dyDescent="0.25">
      <c r="D3" s="200"/>
      <c r="E3" s="200"/>
      <c r="F3" s="200"/>
      <c r="G3" s="200"/>
      <c r="H3" s="200"/>
      <c r="I3" s="200"/>
      <c r="J3" s="200"/>
      <c r="K3" s="200"/>
      <c r="L3" s="200"/>
    </row>
    <row r="4" spans="1:12" ht="12.65" customHeight="1" x14ac:dyDescent="0.25">
      <c r="C4" s="200"/>
      <c r="D4" s="200"/>
      <c r="E4" s="200"/>
      <c r="F4" s="200"/>
      <c r="G4" s="200"/>
      <c r="H4" s="200"/>
      <c r="I4" s="200"/>
      <c r="J4" s="200"/>
      <c r="K4" s="200"/>
      <c r="L4" s="200"/>
    </row>
    <row r="5" spans="1:12" ht="12.65" customHeight="1" x14ac:dyDescent="0.25">
      <c r="C5" s="200"/>
      <c r="D5" s="200"/>
      <c r="E5" s="200"/>
      <c r="F5" s="200"/>
      <c r="G5" s="200"/>
      <c r="H5" s="200"/>
      <c r="I5" s="200"/>
      <c r="J5" s="200"/>
      <c r="K5" s="200"/>
      <c r="L5" s="200"/>
    </row>
    <row r="8" spans="1:12" ht="13" thickBot="1" x14ac:dyDescent="0.3"/>
    <row r="9" spans="1:12" ht="15.5" x14ac:dyDescent="0.35">
      <c r="A9" s="110" t="s">
        <v>114</v>
      </c>
      <c r="B9" s="193" t="s">
        <v>393</v>
      </c>
      <c r="C9" s="192">
        <v>75</v>
      </c>
      <c r="D9" s="191" t="s">
        <v>186</v>
      </c>
      <c r="E9" s="190">
        <f>C9/C10</f>
        <v>7.5</v>
      </c>
      <c r="F9" s="113" t="s">
        <v>362</v>
      </c>
    </row>
    <row r="10" spans="1:12" ht="16" thickBot="1" x14ac:dyDescent="0.45">
      <c r="B10" s="117" t="s">
        <v>392</v>
      </c>
      <c r="C10" s="187">
        <v>10</v>
      </c>
      <c r="D10" s="186" t="s">
        <v>350</v>
      </c>
      <c r="E10" s="161"/>
      <c r="F10" s="119"/>
    </row>
    <row r="12" spans="1:12" x14ac:dyDescent="0.25">
      <c r="B12" s="5"/>
      <c r="C12" s="6"/>
      <c r="D12" s="5"/>
      <c r="E12" s="5"/>
    </row>
    <row r="13" spans="1:12" ht="13" thickBot="1" x14ac:dyDescent="0.3">
      <c r="B13" s="5"/>
      <c r="C13" s="6"/>
      <c r="D13" s="5"/>
      <c r="E13" s="5"/>
    </row>
    <row r="14" spans="1:12" ht="15.5" x14ac:dyDescent="0.35">
      <c r="A14" s="110" t="s">
        <v>391</v>
      </c>
      <c r="B14" s="199" t="s">
        <v>390</v>
      </c>
      <c r="C14" s="190"/>
      <c r="D14" s="191"/>
      <c r="E14" s="191"/>
      <c r="F14" s="113"/>
      <c r="H14" s="199" t="s">
        <v>389</v>
      </c>
      <c r="I14" s="183"/>
      <c r="J14" s="183"/>
      <c r="K14" s="183"/>
      <c r="L14" s="113"/>
    </row>
    <row r="15" spans="1:12" ht="14.5" x14ac:dyDescent="0.35">
      <c r="B15" s="171" t="s">
        <v>388</v>
      </c>
      <c r="C15" s="167">
        <v>10</v>
      </c>
      <c r="D15" t="s">
        <v>360</v>
      </c>
      <c r="F15" s="115"/>
      <c r="H15" s="171" t="s">
        <v>388</v>
      </c>
      <c r="I15">
        <v>8</v>
      </c>
      <c r="J15" t="s">
        <v>360</v>
      </c>
      <c r="L15" s="115"/>
    </row>
    <row r="16" spans="1:12" x14ac:dyDescent="0.25">
      <c r="B16" s="171"/>
      <c r="C16" s="6"/>
      <c r="F16" s="115"/>
      <c r="H16" s="114"/>
      <c r="L16" s="115"/>
    </row>
    <row r="17" spans="2:12" x14ac:dyDescent="0.25">
      <c r="B17" s="178" t="s">
        <v>377</v>
      </c>
      <c r="F17" s="115"/>
      <c r="H17" s="178" t="s">
        <v>367</v>
      </c>
      <c r="L17" s="115"/>
    </row>
    <row r="18" spans="2:12" ht="14.5" x14ac:dyDescent="0.35">
      <c r="B18" s="171" t="s">
        <v>366</v>
      </c>
      <c r="C18" s="167">
        <v>12</v>
      </c>
      <c r="D18" s="5" t="s">
        <v>21</v>
      </c>
      <c r="F18" s="115"/>
      <c r="H18" s="171" t="s">
        <v>366</v>
      </c>
      <c r="I18" s="196">
        <v>5</v>
      </c>
      <c r="J18" s="5" t="s">
        <v>21</v>
      </c>
      <c r="L18" s="115"/>
    </row>
    <row r="19" spans="2:12" ht="14.5" x14ac:dyDescent="0.35">
      <c r="B19" s="171" t="s">
        <v>363</v>
      </c>
      <c r="C19" s="182">
        <v>10</v>
      </c>
      <c r="D19" s="5" t="s">
        <v>7</v>
      </c>
      <c r="F19" s="115"/>
      <c r="H19" s="171" t="s">
        <v>363</v>
      </c>
      <c r="I19" s="174">
        <v>4</v>
      </c>
      <c r="J19" s="5" t="s">
        <v>7</v>
      </c>
      <c r="L19" s="115"/>
    </row>
    <row r="20" spans="2:12" ht="14.5" x14ac:dyDescent="0.35">
      <c r="B20" s="171" t="s">
        <v>368</v>
      </c>
      <c r="C20" s="198">
        <v>1</v>
      </c>
      <c r="F20" s="115"/>
      <c r="H20" s="171" t="s">
        <v>357</v>
      </c>
      <c r="I20" s="196">
        <v>0.7</v>
      </c>
      <c r="L20" s="115"/>
    </row>
    <row r="21" spans="2:12" ht="14.5" x14ac:dyDescent="0.35">
      <c r="B21" s="171" t="s">
        <v>357</v>
      </c>
      <c r="C21" s="167">
        <v>0.85</v>
      </c>
      <c r="F21" s="115"/>
      <c r="H21" s="114" t="s">
        <v>356</v>
      </c>
      <c r="I21" s="167">
        <v>0.95</v>
      </c>
      <c r="L21" s="115"/>
    </row>
    <row r="22" spans="2:12" ht="14.5" x14ac:dyDescent="0.35">
      <c r="B22" s="114" t="s">
        <v>370</v>
      </c>
      <c r="C22" s="167">
        <v>0.95</v>
      </c>
      <c r="F22" s="115"/>
      <c r="H22" s="114" t="s">
        <v>387</v>
      </c>
      <c r="I22" s="167">
        <v>0.95</v>
      </c>
      <c r="L22" s="115"/>
    </row>
    <row r="23" spans="2:12" ht="14.5" x14ac:dyDescent="0.35">
      <c r="B23" s="114" t="s">
        <v>356</v>
      </c>
      <c r="C23" s="167">
        <v>0.95</v>
      </c>
      <c r="F23" s="115"/>
      <c r="H23" s="171" t="s">
        <v>365</v>
      </c>
      <c r="I23" s="6">
        <f>+I18*I19/10*I20*I21*I22</f>
        <v>1.2634999999999998</v>
      </c>
      <c r="J23" s="5" t="s">
        <v>195</v>
      </c>
      <c r="L23" s="115"/>
    </row>
    <row r="24" spans="2:12" ht="15" thickBot="1" x14ac:dyDescent="0.4">
      <c r="B24" s="114" t="s">
        <v>369</v>
      </c>
      <c r="C24" s="167">
        <v>0.95</v>
      </c>
      <c r="F24" s="115"/>
      <c r="H24" s="117" t="s">
        <v>386</v>
      </c>
      <c r="I24" s="195">
        <f>C9/I23</f>
        <v>59.358923624851613</v>
      </c>
      <c r="J24" s="161" t="s">
        <v>191</v>
      </c>
      <c r="K24" s="195">
        <f>I24/I15</f>
        <v>7.4198654531064516</v>
      </c>
      <c r="L24" s="119" t="s">
        <v>350</v>
      </c>
    </row>
    <row r="25" spans="2:12" x14ac:dyDescent="0.25">
      <c r="B25" s="171" t="s">
        <v>365</v>
      </c>
      <c r="C25" s="6">
        <f>+C18*C19/10*C21*C23*C24*C22</f>
        <v>8.7452249999999978</v>
      </c>
      <c r="D25" s="5" t="s">
        <v>195</v>
      </c>
      <c r="F25" s="115"/>
    </row>
    <row r="26" spans="2:12" x14ac:dyDescent="0.25">
      <c r="B26" s="171" t="s">
        <v>385</v>
      </c>
      <c r="C26" s="6">
        <f>+C9/C25*C20</f>
        <v>8.5761086764491505</v>
      </c>
      <c r="D26" s="5" t="s">
        <v>284</v>
      </c>
      <c r="E26" s="197">
        <f>C26/C15</f>
        <v>0.85761086764491501</v>
      </c>
      <c r="F26" s="115" t="s">
        <v>350</v>
      </c>
    </row>
    <row r="27" spans="2:12" x14ac:dyDescent="0.25">
      <c r="B27" s="114"/>
      <c r="F27" s="115"/>
    </row>
    <row r="28" spans="2:12" x14ac:dyDescent="0.25">
      <c r="B28" s="178" t="s">
        <v>373</v>
      </c>
      <c r="F28" s="115"/>
      <c r="H28" s="5"/>
      <c r="J28" s="5"/>
    </row>
    <row r="29" spans="2:12" ht="14.5" x14ac:dyDescent="0.35">
      <c r="B29" s="171" t="s">
        <v>366</v>
      </c>
      <c r="C29" s="196">
        <v>10</v>
      </c>
      <c r="D29" s="5" t="s">
        <v>21</v>
      </c>
      <c r="F29" s="115"/>
      <c r="H29" s="5"/>
      <c r="J29" s="5"/>
    </row>
    <row r="30" spans="2:12" ht="14.5" x14ac:dyDescent="0.35">
      <c r="B30" s="171" t="s">
        <v>363</v>
      </c>
      <c r="C30" s="174">
        <v>5.3</v>
      </c>
      <c r="D30" s="5" t="s">
        <v>7</v>
      </c>
      <c r="F30" s="115"/>
    </row>
    <row r="31" spans="2:12" ht="14.5" x14ac:dyDescent="0.35">
      <c r="B31" s="171" t="s">
        <v>368</v>
      </c>
      <c r="C31" s="196">
        <v>2</v>
      </c>
      <c r="F31" s="115"/>
    </row>
    <row r="32" spans="2:12" ht="14.5" x14ac:dyDescent="0.35">
      <c r="B32" s="171" t="s">
        <v>357</v>
      </c>
      <c r="C32" s="196">
        <v>0.85</v>
      </c>
      <c r="F32" s="115"/>
    </row>
    <row r="33" spans="1:10" ht="14.5" x14ac:dyDescent="0.35">
      <c r="B33" s="114" t="s">
        <v>370</v>
      </c>
      <c r="C33" s="196">
        <v>0.95</v>
      </c>
      <c r="F33" s="115"/>
    </row>
    <row r="34" spans="1:10" ht="14.5" x14ac:dyDescent="0.35">
      <c r="B34" s="114" t="s">
        <v>356</v>
      </c>
      <c r="C34" s="167">
        <v>0.95</v>
      </c>
      <c r="F34" s="115"/>
    </row>
    <row r="35" spans="1:10" ht="14.5" x14ac:dyDescent="0.35">
      <c r="B35" s="114" t="s">
        <v>369</v>
      </c>
      <c r="C35" s="167">
        <v>0.95</v>
      </c>
      <c r="F35" s="115"/>
    </row>
    <row r="36" spans="1:10" x14ac:dyDescent="0.25">
      <c r="B36" s="171" t="s">
        <v>365</v>
      </c>
      <c r="C36" s="6">
        <f>+C29*C30/10*C32*C34*C35*C33</f>
        <v>3.8624743749999997</v>
      </c>
      <c r="D36" s="5" t="s">
        <v>195</v>
      </c>
      <c r="F36" s="115"/>
    </row>
    <row r="37" spans="1:10" ht="13" thickBot="1" x14ac:dyDescent="0.3">
      <c r="B37" s="188" t="s">
        <v>384</v>
      </c>
      <c r="C37" s="195">
        <f>+C9/C36*C31</f>
        <v>38.835209100901807</v>
      </c>
      <c r="D37" s="186" t="s">
        <v>284</v>
      </c>
      <c r="E37" s="194">
        <f>C37/C15</f>
        <v>3.8835209100901809</v>
      </c>
      <c r="F37" s="119" t="s">
        <v>350</v>
      </c>
    </row>
    <row r="39" spans="1:10" ht="13" thickBot="1" x14ac:dyDescent="0.3"/>
    <row r="40" spans="1:10" ht="15.5" x14ac:dyDescent="0.35">
      <c r="A40" s="110" t="s">
        <v>264</v>
      </c>
      <c r="B40" s="241" t="s">
        <v>383</v>
      </c>
      <c r="C40" s="242">
        <f>+C26+C37</f>
        <v>47.411317777350959</v>
      </c>
      <c r="D40" s="244" t="s">
        <v>191</v>
      </c>
      <c r="E40" s="243"/>
      <c r="F40" s="243"/>
      <c r="G40" s="183"/>
      <c r="H40" s="241" t="s">
        <v>382</v>
      </c>
      <c r="I40" s="242">
        <f>I24</f>
        <v>59.358923624851613</v>
      </c>
      <c r="J40" s="244" t="s">
        <v>284</v>
      </c>
    </row>
    <row r="41" spans="1:10" ht="13.5" thickBot="1" x14ac:dyDescent="0.35">
      <c r="B41" s="117"/>
      <c r="C41" s="202">
        <f>C40/C15</f>
        <v>4.7411317777350961</v>
      </c>
      <c r="D41" s="245" t="s">
        <v>350</v>
      </c>
      <c r="E41" s="161"/>
      <c r="F41" s="161"/>
      <c r="G41" s="162"/>
      <c r="H41" s="117"/>
      <c r="I41" s="202">
        <f>K24</f>
        <v>7.4198654531064516</v>
      </c>
      <c r="J41" s="245" t="s">
        <v>350</v>
      </c>
    </row>
    <row r="42" spans="1:10" x14ac:dyDescent="0.25">
      <c r="B42" s="5"/>
    </row>
    <row r="43" spans="1:10" x14ac:dyDescent="0.25">
      <c r="B43" s="5"/>
    </row>
    <row r="44" spans="1:10" x14ac:dyDescent="0.25">
      <c r="B44" s="5"/>
    </row>
    <row r="57" spans="2:5" x14ac:dyDescent="0.25">
      <c r="D57" s="5"/>
    </row>
    <row r="58" spans="2:5" ht="13" x14ac:dyDescent="0.3">
      <c r="B58" s="2"/>
      <c r="C58" s="6"/>
      <c r="D58" s="5"/>
      <c r="E58" s="5"/>
    </row>
    <row r="59" spans="2:5" ht="13" x14ac:dyDescent="0.3">
      <c r="B59" s="2"/>
      <c r="C59" s="25"/>
      <c r="D59" s="5"/>
    </row>
    <row r="60" spans="2:5" x14ac:dyDescent="0.25">
      <c r="B60" s="5"/>
      <c r="C60" s="6"/>
    </row>
    <row r="201" spans="3:3" x14ac:dyDescent="0.25">
      <c r="C201">
        <v>0</v>
      </c>
    </row>
  </sheetData>
  <sheetProtection algorithmName="SHA-512" hashValue="prnogtl88TZmqp7EGtuXeEtZZKHiO3jf1TZUyCP7VZ1JtI/u02Pbvt5zvO+FPYSmVXt/RjdQoGU60/dtQP6CtQ==" saltValue="hcaTC0o1CWlCRH2v2ydWTw==" spinCount="100000" sheet="1" objects="1" scenarios="1"/>
  <mergeCells count="1">
    <mergeCell ref="B2:F2"/>
  </mergeCells>
  <pageMargins left="0.7" right="0.7" top="0.75" bottom="0.75" header="0.3" footer="0.3"/>
  <drawing r:id="rId1"/>
  <pictur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F7FFE-8360-42BC-926F-258C41C7F3B0}">
  <sheetPr codeName="Sheet6"/>
  <dimension ref="A1:N55"/>
  <sheetViews>
    <sheetView topLeftCell="A4" workbookViewId="0">
      <selection activeCell="C51" sqref="C51"/>
    </sheetView>
  </sheetViews>
  <sheetFormatPr defaultRowHeight="12.5" x14ac:dyDescent="0.25"/>
  <cols>
    <col min="1" max="1" width="21.1796875" bestFit="1" customWidth="1"/>
    <col min="2" max="2" width="25.54296875" bestFit="1" customWidth="1"/>
    <col min="3" max="3" width="10.54296875" bestFit="1" customWidth="1"/>
    <col min="4" max="4" width="10.453125" bestFit="1" customWidth="1"/>
    <col min="5" max="5" width="30.7265625" bestFit="1" customWidth="1"/>
    <col min="8" max="8" width="19.54296875" customWidth="1"/>
    <col min="10" max="11" width="17.54296875" bestFit="1" customWidth="1"/>
    <col min="13" max="14" width="10.26953125" bestFit="1" customWidth="1"/>
    <col min="257" max="257" width="9.54296875" bestFit="1" customWidth="1"/>
    <col min="258" max="258" width="21.1796875" bestFit="1" customWidth="1"/>
    <col min="513" max="513" width="9.54296875" bestFit="1" customWidth="1"/>
    <col min="514" max="514" width="21.1796875" bestFit="1" customWidth="1"/>
    <col min="769" max="769" width="9.54296875" bestFit="1" customWidth="1"/>
    <col min="770" max="770" width="21.1796875" bestFit="1" customWidth="1"/>
    <col min="1025" max="1025" width="9.54296875" bestFit="1" customWidth="1"/>
    <col min="1026" max="1026" width="21.1796875" bestFit="1" customWidth="1"/>
    <col min="1281" max="1281" width="9.54296875" bestFit="1" customWidth="1"/>
    <col min="1282" max="1282" width="21.1796875" bestFit="1" customWidth="1"/>
    <col min="1537" max="1537" width="9.54296875" bestFit="1" customWidth="1"/>
    <col min="1538" max="1538" width="21.1796875" bestFit="1" customWidth="1"/>
    <col min="1793" max="1793" width="9.54296875" bestFit="1" customWidth="1"/>
    <col min="1794" max="1794" width="21.1796875" bestFit="1" customWidth="1"/>
    <col min="2049" max="2049" width="9.54296875" bestFit="1" customWidth="1"/>
    <col min="2050" max="2050" width="21.1796875" bestFit="1" customWidth="1"/>
    <col min="2305" max="2305" width="9.54296875" bestFit="1" customWidth="1"/>
    <col min="2306" max="2306" width="21.1796875" bestFit="1" customWidth="1"/>
    <col min="2561" max="2561" width="9.54296875" bestFit="1" customWidth="1"/>
    <col min="2562" max="2562" width="21.1796875" bestFit="1" customWidth="1"/>
    <col min="2817" max="2817" width="9.54296875" bestFit="1" customWidth="1"/>
    <col min="2818" max="2818" width="21.1796875" bestFit="1" customWidth="1"/>
    <col min="3073" max="3073" width="9.54296875" bestFit="1" customWidth="1"/>
    <col min="3074" max="3074" width="21.1796875" bestFit="1" customWidth="1"/>
    <col min="3329" max="3329" width="9.54296875" bestFit="1" customWidth="1"/>
    <col min="3330" max="3330" width="21.1796875" bestFit="1" customWidth="1"/>
    <col min="3585" max="3585" width="9.54296875" bestFit="1" customWidth="1"/>
    <col min="3586" max="3586" width="21.1796875" bestFit="1" customWidth="1"/>
    <col min="3841" max="3841" width="9.54296875" bestFit="1" customWidth="1"/>
    <col min="3842" max="3842" width="21.1796875" bestFit="1" customWidth="1"/>
    <col min="4097" max="4097" width="9.54296875" bestFit="1" customWidth="1"/>
    <col min="4098" max="4098" width="21.1796875" bestFit="1" customWidth="1"/>
    <col min="4353" max="4353" width="9.54296875" bestFit="1" customWidth="1"/>
    <col min="4354" max="4354" width="21.1796875" bestFit="1" customWidth="1"/>
    <col min="4609" max="4609" width="9.54296875" bestFit="1" customWidth="1"/>
    <col min="4610" max="4610" width="21.1796875" bestFit="1" customWidth="1"/>
    <col min="4865" max="4865" width="9.54296875" bestFit="1" customWidth="1"/>
    <col min="4866" max="4866" width="21.1796875" bestFit="1" customWidth="1"/>
    <col min="5121" max="5121" width="9.54296875" bestFit="1" customWidth="1"/>
    <col min="5122" max="5122" width="21.1796875" bestFit="1" customWidth="1"/>
    <col min="5377" max="5377" width="9.54296875" bestFit="1" customWidth="1"/>
    <col min="5378" max="5378" width="21.1796875" bestFit="1" customWidth="1"/>
    <col min="5633" max="5633" width="9.54296875" bestFit="1" customWidth="1"/>
    <col min="5634" max="5634" width="21.1796875" bestFit="1" customWidth="1"/>
    <col min="5889" max="5889" width="9.54296875" bestFit="1" customWidth="1"/>
    <col min="5890" max="5890" width="21.1796875" bestFit="1" customWidth="1"/>
    <col min="6145" max="6145" width="9.54296875" bestFit="1" customWidth="1"/>
    <col min="6146" max="6146" width="21.1796875" bestFit="1" customWidth="1"/>
    <col min="6401" max="6401" width="9.54296875" bestFit="1" customWidth="1"/>
    <col min="6402" max="6402" width="21.1796875" bestFit="1" customWidth="1"/>
    <col min="6657" max="6657" width="9.54296875" bestFit="1" customWidth="1"/>
    <col min="6658" max="6658" width="21.1796875" bestFit="1" customWidth="1"/>
    <col min="6913" max="6913" width="9.54296875" bestFit="1" customWidth="1"/>
    <col min="6914" max="6914" width="21.1796875" bestFit="1" customWidth="1"/>
    <col min="7169" max="7169" width="9.54296875" bestFit="1" customWidth="1"/>
    <col min="7170" max="7170" width="21.1796875" bestFit="1" customWidth="1"/>
    <col min="7425" max="7425" width="9.54296875" bestFit="1" customWidth="1"/>
    <col min="7426" max="7426" width="21.1796875" bestFit="1" customWidth="1"/>
    <col min="7681" max="7681" width="9.54296875" bestFit="1" customWidth="1"/>
    <col min="7682" max="7682" width="21.1796875" bestFit="1" customWidth="1"/>
    <col min="7937" max="7937" width="9.54296875" bestFit="1" customWidth="1"/>
    <col min="7938" max="7938" width="21.1796875" bestFit="1" customWidth="1"/>
    <col min="8193" max="8193" width="9.54296875" bestFit="1" customWidth="1"/>
    <col min="8194" max="8194" width="21.1796875" bestFit="1" customWidth="1"/>
    <col min="8449" max="8449" width="9.54296875" bestFit="1" customWidth="1"/>
    <col min="8450" max="8450" width="21.1796875" bestFit="1" customWidth="1"/>
    <col min="8705" max="8705" width="9.54296875" bestFit="1" customWidth="1"/>
    <col min="8706" max="8706" width="21.1796875" bestFit="1" customWidth="1"/>
    <col min="8961" max="8961" width="9.54296875" bestFit="1" customWidth="1"/>
    <col min="8962" max="8962" width="21.1796875" bestFit="1" customWidth="1"/>
    <col min="9217" max="9217" width="9.54296875" bestFit="1" customWidth="1"/>
    <col min="9218" max="9218" width="21.1796875" bestFit="1" customWidth="1"/>
    <col min="9473" max="9473" width="9.54296875" bestFit="1" customWidth="1"/>
    <col min="9474" max="9474" width="21.1796875" bestFit="1" customWidth="1"/>
    <col min="9729" max="9729" width="9.54296875" bestFit="1" customWidth="1"/>
    <col min="9730" max="9730" width="21.1796875" bestFit="1" customWidth="1"/>
    <col min="9985" max="9985" width="9.54296875" bestFit="1" customWidth="1"/>
    <col min="9986" max="9986" width="21.1796875" bestFit="1" customWidth="1"/>
    <col min="10241" max="10241" width="9.54296875" bestFit="1" customWidth="1"/>
    <col min="10242" max="10242" width="21.1796875" bestFit="1" customWidth="1"/>
    <col min="10497" max="10497" width="9.54296875" bestFit="1" customWidth="1"/>
    <col min="10498" max="10498" width="21.1796875" bestFit="1" customWidth="1"/>
    <col min="10753" max="10753" width="9.54296875" bestFit="1" customWidth="1"/>
    <col min="10754" max="10754" width="21.1796875" bestFit="1" customWidth="1"/>
    <col min="11009" max="11009" width="9.54296875" bestFit="1" customWidth="1"/>
    <col min="11010" max="11010" width="21.1796875" bestFit="1" customWidth="1"/>
    <col min="11265" max="11265" width="9.54296875" bestFit="1" customWidth="1"/>
    <col min="11266" max="11266" width="21.1796875" bestFit="1" customWidth="1"/>
    <col min="11521" max="11521" width="9.54296875" bestFit="1" customWidth="1"/>
    <col min="11522" max="11522" width="21.1796875" bestFit="1" customWidth="1"/>
    <col min="11777" max="11777" width="9.54296875" bestFit="1" customWidth="1"/>
    <col min="11778" max="11778" width="21.1796875" bestFit="1" customWidth="1"/>
    <col min="12033" max="12033" width="9.54296875" bestFit="1" customWidth="1"/>
    <col min="12034" max="12034" width="21.1796875" bestFit="1" customWidth="1"/>
    <col min="12289" max="12289" width="9.54296875" bestFit="1" customWidth="1"/>
    <col min="12290" max="12290" width="21.1796875" bestFit="1" customWidth="1"/>
    <col min="12545" max="12545" width="9.54296875" bestFit="1" customWidth="1"/>
    <col min="12546" max="12546" width="21.1796875" bestFit="1" customWidth="1"/>
    <col min="12801" max="12801" width="9.54296875" bestFit="1" customWidth="1"/>
    <col min="12802" max="12802" width="21.1796875" bestFit="1" customWidth="1"/>
    <col min="13057" max="13057" width="9.54296875" bestFit="1" customWidth="1"/>
    <col min="13058" max="13058" width="21.1796875" bestFit="1" customWidth="1"/>
    <col min="13313" max="13313" width="9.54296875" bestFit="1" customWidth="1"/>
    <col min="13314" max="13314" width="21.1796875" bestFit="1" customWidth="1"/>
    <col min="13569" max="13569" width="9.54296875" bestFit="1" customWidth="1"/>
    <col min="13570" max="13570" width="21.1796875" bestFit="1" customWidth="1"/>
    <col min="13825" max="13825" width="9.54296875" bestFit="1" customWidth="1"/>
    <col min="13826" max="13826" width="21.1796875" bestFit="1" customWidth="1"/>
    <col min="14081" max="14081" width="9.54296875" bestFit="1" customWidth="1"/>
    <col min="14082" max="14082" width="21.1796875" bestFit="1" customWidth="1"/>
    <col min="14337" max="14337" width="9.54296875" bestFit="1" customWidth="1"/>
    <col min="14338" max="14338" width="21.1796875" bestFit="1" customWidth="1"/>
    <col min="14593" max="14593" width="9.54296875" bestFit="1" customWidth="1"/>
    <col min="14594" max="14594" width="21.1796875" bestFit="1" customWidth="1"/>
    <col min="14849" max="14849" width="9.54296875" bestFit="1" customWidth="1"/>
    <col min="14850" max="14850" width="21.1796875" bestFit="1" customWidth="1"/>
    <col min="15105" max="15105" width="9.54296875" bestFit="1" customWidth="1"/>
    <col min="15106" max="15106" width="21.1796875" bestFit="1" customWidth="1"/>
    <col min="15361" max="15361" width="9.54296875" bestFit="1" customWidth="1"/>
    <col min="15362" max="15362" width="21.1796875" bestFit="1" customWidth="1"/>
    <col min="15617" max="15617" width="9.54296875" bestFit="1" customWidth="1"/>
    <col min="15618" max="15618" width="21.1796875" bestFit="1" customWidth="1"/>
    <col min="15873" max="15873" width="9.54296875" bestFit="1" customWidth="1"/>
    <col min="15874" max="15874" width="21.1796875" bestFit="1" customWidth="1"/>
    <col min="16129" max="16129" width="9.54296875" bestFit="1" customWidth="1"/>
    <col min="16130" max="16130" width="21.1796875" bestFit="1" customWidth="1"/>
  </cols>
  <sheetData>
    <row r="1" spans="1:14" ht="13" x14ac:dyDescent="0.3">
      <c r="A1" s="2" t="s">
        <v>381</v>
      </c>
    </row>
    <row r="3" spans="1:14" x14ac:dyDescent="0.25">
      <c r="C3" s="229" t="s">
        <v>380</v>
      </c>
      <c r="D3" s="230"/>
      <c r="E3" s="230"/>
      <c r="F3" s="230"/>
      <c r="G3" s="230"/>
      <c r="H3" s="230"/>
      <c r="I3" s="230"/>
      <c r="J3" s="230"/>
      <c r="K3" s="230"/>
      <c r="L3" s="230"/>
    </row>
    <row r="4" spans="1:14" x14ac:dyDescent="0.25">
      <c r="C4" s="230"/>
      <c r="D4" s="230"/>
      <c r="E4" s="230"/>
      <c r="F4" s="230"/>
      <c r="G4" s="230"/>
      <c r="H4" s="230"/>
      <c r="I4" s="230"/>
      <c r="J4" s="230"/>
      <c r="K4" s="230"/>
      <c r="L4" s="230"/>
    </row>
    <row r="5" spans="1:14" x14ac:dyDescent="0.25">
      <c r="C5" s="230"/>
      <c r="D5" s="230"/>
      <c r="E5" s="230"/>
      <c r="F5" s="230"/>
      <c r="G5" s="230"/>
      <c r="H5" s="230"/>
      <c r="I5" s="230"/>
      <c r="J5" s="230"/>
      <c r="K5" s="230"/>
      <c r="L5" s="230"/>
    </row>
    <row r="8" spans="1:14" ht="13" thickBot="1" x14ac:dyDescent="0.3"/>
    <row r="9" spans="1:14" ht="16" x14ac:dyDescent="0.4">
      <c r="A9" s="110" t="s">
        <v>114</v>
      </c>
      <c r="B9" s="193" t="s">
        <v>185</v>
      </c>
      <c r="C9" s="192">
        <v>75</v>
      </c>
      <c r="D9" s="191" t="s">
        <v>186</v>
      </c>
      <c r="E9" s="183" t="s">
        <v>379</v>
      </c>
      <c r="F9" s="190">
        <f>C9/C10</f>
        <v>7.5</v>
      </c>
      <c r="G9" s="189" t="s">
        <v>362</v>
      </c>
    </row>
    <row r="10" spans="1:14" ht="15" thickBot="1" x14ac:dyDescent="0.4">
      <c r="B10" s="188" t="s">
        <v>378</v>
      </c>
      <c r="C10" s="187">
        <v>10</v>
      </c>
      <c r="D10" s="186" t="s">
        <v>350</v>
      </c>
      <c r="E10" s="161"/>
      <c r="F10" s="161"/>
      <c r="G10" s="119"/>
    </row>
    <row r="11" spans="1:14" ht="14.5" x14ac:dyDescent="0.35">
      <c r="B11" s="5"/>
      <c r="C11" s="166"/>
    </row>
    <row r="12" spans="1:14" ht="13" thickBot="1" x14ac:dyDescent="0.3">
      <c r="B12" s="5"/>
      <c r="E12" s="5"/>
    </row>
    <row r="13" spans="1:14" ht="13" thickBot="1" x14ac:dyDescent="0.3">
      <c r="B13" s="185" t="s">
        <v>377</v>
      </c>
      <c r="C13" s="183"/>
      <c r="D13" s="183"/>
      <c r="E13" s="183"/>
      <c r="F13" s="183"/>
      <c r="G13" s="183"/>
      <c r="H13" s="113"/>
    </row>
    <row r="14" spans="1:14" ht="15.5" x14ac:dyDescent="0.35">
      <c r="A14" s="110" t="s">
        <v>376</v>
      </c>
      <c r="B14" s="177" t="s">
        <v>366</v>
      </c>
      <c r="C14" s="167">
        <v>12</v>
      </c>
      <c r="D14" s="175" t="s">
        <v>21</v>
      </c>
      <c r="H14" s="115"/>
      <c r="J14" s="184" t="s">
        <v>346</v>
      </c>
      <c r="K14" s="183"/>
      <c r="L14" s="183"/>
      <c r="M14" s="183"/>
      <c r="N14" s="113"/>
    </row>
    <row r="15" spans="1:14" ht="14.5" x14ac:dyDescent="0.35">
      <c r="B15" s="171" t="s">
        <v>363</v>
      </c>
      <c r="C15" s="182">
        <v>10</v>
      </c>
      <c r="D15" s="172" t="s">
        <v>7</v>
      </c>
      <c r="E15" s="5" t="s">
        <v>365</v>
      </c>
      <c r="F15" s="6">
        <f>IF(C21&gt;0,C14*C15/10*C17*C20*C18*C19,0)</f>
        <v>8.7452249999999978</v>
      </c>
      <c r="G15" s="5" t="s">
        <v>195</v>
      </c>
      <c r="H15" s="115" t="s">
        <v>364</v>
      </c>
      <c r="J15" s="178" t="s">
        <v>375</v>
      </c>
      <c r="N15" s="115"/>
    </row>
    <row r="16" spans="1:14" ht="14.5" x14ac:dyDescent="0.35">
      <c r="B16" s="171" t="s">
        <v>361</v>
      </c>
      <c r="C16" s="182">
        <v>10</v>
      </c>
      <c r="D16" s="172" t="s">
        <v>360</v>
      </c>
      <c r="E16" t="s">
        <v>372</v>
      </c>
      <c r="F16" s="6">
        <f>IF(C21&gt;0,F15/C21,0)</f>
        <v>8.7452249999999978</v>
      </c>
      <c r="G16" s="5" t="s">
        <v>195</v>
      </c>
      <c r="H16" s="115"/>
      <c r="J16" s="177" t="s">
        <v>366</v>
      </c>
      <c r="K16" s="167">
        <v>6</v>
      </c>
      <c r="L16" s="175" t="s">
        <v>21</v>
      </c>
      <c r="N16" s="115"/>
    </row>
    <row r="17" spans="2:14" ht="14.5" x14ac:dyDescent="0.35">
      <c r="B17" s="171" t="s">
        <v>357</v>
      </c>
      <c r="C17" s="167">
        <v>0.85</v>
      </c>
      <c r="D17" s="16"/>
      <c r="F17" s="25">
        <f>F16*C16</f>
        <v>87.452249999999978</v>
      </c>
      <c r="G17" t="s">
        <v>362</v>
      </c>
      <c r="H17" s="115"/>
      <c r="J17" s="171" t="s">
        <v>363</v>
      </c>
      <c r="K17" s="182">
        <v>2.5</v>
      </c>
      <c r="L17" s="172" t="s">
        <v>7</v>
      </c>
      <c r="N17" s="115"/>
    </row>
    <row r="18" spans="2:14" ht="14.5" x14ac:dyDescent="0.35">
      <c r="B18" s="114" t="s">
        <v>370</v>
      </c>
      <c r="C18" s="167">
        <v>0.95</v>
      </c>
      <c r="D18" s="16"/>
      <c r="E18" s="5" t="s">
        <v>359</v>
      </c>
      <c r="F18" s="6">
        <f>IF(C21&gt;0,C21*C9/F15,0)</f>
        <v>8.5761086764491505</v>
      </c>
      <c r="G18" s="5" t="s">
        <v>284</v>
      </c>
      <c r="H18" s="169" t="s">
        <v>358</v>
      </c>
      <c r="J18" s="171" t="s">
        <v>361</v>
      </c>
      <c r="K18" s="182">
        <v>10</v>
      </c>
      <c r="L18" s="172" t="s">
        <v>360</v>
      </c>
      <c r="N18" s="115"/>
    </row>
    <row r="19" spans="2:14" ht="14.5" x14ac:dyDescent="0.35">
      <c r="B19" s="114" t="s">
        <v>356</v>
      </c>
      <c r="C19" s="167">
        <v>0.95</v>
      </c>
      <c r="D19" s="16"/>
      <c r="F19" s="6">
        <f>F18/C16</f>
        <v>0.85761086764491501</v>
      </c>
      <c r="G19" t="s">
        <v>350</v>
      </c>
      <c r="H19" s="115"/>
      <c r="J19" s="171" t="s">
        <v>357</v>
      </c>
      <c r="K19" s="167">
        <v>0.7</v>
      </c>
      <c r="L19" s="16"/>
      <c r="N19" s="115"/>
    </row>
    <row r="20" spans="2:14" ht="14.5" x14ac:dyDescent="0.35">
      <c r="B20" s="114" t="s">
        <v>369</v>
      </c>
      <c r="C20" s="167">
        <v>0.95</v>
      </c>
      <c r="D20" s="16"/>
      <c r="E20" t="s">
        <v>355</v>
      </c>
      <c r="F20" s="25">
        <f>IF(C21&gt;0,C22*F18,0)</f>
        <v>677.5125854394829</v>
      </c>
      <c r="G20" t="s">
        <v>348</v>
      </c>
      <c r="H20" s="115"/>
      <c r="J20" s="114" t="s">
        <v>354</v>
      </c>
      <c r="K20" s="167">
        <v>0.95</v>
      </c>
      <c r="L20" s="16"/>
      <c r="N20" s="115"/>
    </row>
    <row r="21" spans="2:14" ht="14.5" x14ac:dyDescent="0.35">
      <c r="B21" s="171" t="s">
        <v>368</v>
      </c>
      <c r="C21" s="181">
        <v>1</v>
      </c>
      <c r="D21" s="16"/>
      <c r="H21" s="115"/>
      <c r="J21" s="114" t="s">
        <v>356</v>
      </c>
      <c r="K21" s="167">
        <v>0.95</v>
      </c>
      <c r="L21" s="141"/>
      <c r="N21" s="115"/>
    </row>
    <row r="22" spans="2:14" ht="14.5" x14ac:dyDescent="0.35">
      <c r="B22" s="168" t="s">
        <v>353</v>
      </c>
      <c r="C22" s="167">
        <v>79</v>
      </c>
      <c r="D22" s="18" t="s">
        <v>352</v>
      </c>
      <c r="H22" s="115"/>
      <c r="J22" s="168" t="s">
        <v>374</v>
      </c>
      <c r="K22" s="167">
        <v>120</v>
      </c>
      <c r="L22" s="18" t="s">
        <v>352</v>
      </c>
      <c r="N22" s="115"/>
    </row>
    <row r="23" spans="2:14" x14ac:dyDescent="0.25">
      <c r="B23" s="114"/>
      <c r="E23" s="5"/>
      <c r="H23" s="115"/>
      <c r="J23" s="114"/>
      <c r="N23" s="115"/>
    </row>
    <row r="24" spans="2:14" x14ac:dyDescent="0.25">
      <c r="B24" s="114"/>
      <c r="H24" s="115"/>
      <c r="J24" s="171" t="s">
        <v>365</v>
      </c>
      <c r="K24" s="6">
        <f>K16*K17/10*K19*K20*K21</f>
        <v>0.94762499999999983</v>
      </c>
      <c r="L24" s="5" t="s">
        <v>195</v>
      </c>
      <c r="M24" s="6">
        <f>K24*K18</f>
        <v>9.4762499999999985</v>
      </c>
      <c r="N24" s="115" t="s">
        <v>362</v>
      </c>
    </row>
    <row r="25" spans="2:14" x14ac:dyDescent="0.25">
      <c r="B25" s="178" t="s">
        <v>373</v>
      </c>
      <c r="H25" s="115"/>
      <c r="J25" s="114" t="s">
        <v>359</v>
      </c>
      <c r="K25" s="25">
        <f>C9/K24</f>
        <v>79.145231499802151</v>
      </c>
      <c r="L25" t="s">
        <v>191</v>
      </c>
      <c r="M25" s="6">
        <f>K25/K18</f>
        <v>7.9145231499802149</v>
      </c>
      <c r="N25" s="115" t="s">
        <v>350</v>
      </c>
    </row>
    <row r="26" spans="2:14" ht="15" thickBot="1" x14ac:dyDescent="0.4">
      <c r="B26" s="177" t="s">
        <v>366</v>
      </c>
      <c r="C26" s="176">
        <v>10</v>
      </c>
      <c r="D26" s="175" t="s">
        <v>21</v>
      </c>
      <c r="E26" s="5" t="s">
        <v>365</v>
      </c>
      <c r="F26" s="6">
        <f>+C26*C27/10*C29*C32*C30*C31</f>
        <v>3.8624743749999997</v>
      </c>
      <c r="G26" s="5" t="s">
        <v>195</v>
      </c>
      <c r="H26" s="115" t="s">
        <v>364</v>
      </c>
      <c r="J26" s="117" t="s">
        <v>355</v>
      </c>
      <c r="K26" s="180">
        <f>K25*K22</f>
        <v>9497.4277799762585</v>
      </c>
      <c r="L26" s="161" t="s">
        <v>348</v>
      </c>
      <c r="M26" s="161"/>
      <c r="N26" s="119"/>
    </row>
    <row r="27" spans="2:14" ht="14.5" x14ac:dyDescent="0.35">
      <c r="B27" s="171" t="s">
        <v>363</v>
      </c>
      <c r="C27" s="174">
        <v>5.3</v>
      </c>
      <c r="D27" s="172" t="s">
        <v>7</v>
      </c>
      <c r="E27" t="s">
        <v>372</v>
      </c>
      <c r="F27" s="6">
        <f>F26/C33</f>
        <v>1.9312371874999998</v>
      </c>
      <c r="G27" s="5" t="s">
        <v>195</v>
      </c>
      <c r="H27" s="115"/>
    </row>
    <row r="28" spans="2:14" ht="14.5" x14ac:dyDescent="0.35">
      <c r="B28" s="171" t="s">
        <v>361</v>
      </c>
      <c r="C28" s="173">
        <v>10</v>
      </c>
      <c r="D28" s="172" t="s">
        <v>360</v>
      </c>
      <c r="F28" s="25">
        <f>F27*C28</f>
        <v>19.312371874999997</v>
      </c>
      <c r="G28" t="s">
        <v>362</v>
      </c>
      <c r="H28" s="115"/>
    </row>
    <row r="29" spans="2:14" ht="14.5" x14ac:dyDescent="0.35">
      <c r="B29" s="171" t="s">
        <v>357</v>
      </c>
      <c r="C29" s="170">
        <v>0.85</v>
      </c>
      <c r="D29" s="16"/>
      <c r="E29" s="5" t="s">
        <v>359</v>
      </c>
      <c r="F29" s="6">
        <f>+C9/F26*C33</f>
        <v>38.835209100901807</v>
      </c>
      <c r="G29" s="5" t="s">
        <v>284</v>
      </c>
      <c r="H29" s="169" t="s">
        <v>371</v>
      </c>
    </row>
    <row r="30" spans="2:14" ht="14.5" x14ac:dyDescent="0.35">
      <c r="B30" s="114" t="s">
        <v>370</v>
      </c>
      <c r="C30" s="167">
        <v>0.95</v>
      </c>
      <c r="D30" s="16"/>
      <c r="F30" s="6">
        <f>F29/C28</f>
        <v>3.8835209100901809</v>
      </c>
      <c r="G30" t="s">
        <v>350</v>
      </c>
      <c r="H30" s="115"/>
    </row>
    <row r="31" spans="2:14" ht="14.5" x14ac:dyDescent="0.35">
      <c r="B31" s="114" t="s">
        <v>356</v>
      </c>
      <c r="C31" s="167">
        <v>0.95</v>
      </c>
      <c r="D31" s="16"/>
      <c r="E31" t="s">
        <v>355</v>
      </c>
      <c r="F31" s="25">
        <f>C34*F29</f>
        <v>3067.9815189712426</v>
      </c>
      <c r="G31" t="s">
        <v>348</v>
      </c>
      <c r="H31" s="115"/>
    </row>
    <row r="32" spans="2:14" ht="14.5" x14ac:dyDescent="0.35">
      <c r="B32" s="114" t="s">
        <v>369</v>
      </c>
      <c r="C32" s="167">
        <v>0.95</v>
      </c>
      <c r="D32" s="16"/>
      <c r="H32" s="115"/>
    </row>
    <row r="33" spans="1:10" ht="14.5" x14ac:dyDescent="0.35">
      <c r="B33" s="171" t="s">
        <v>368</v>
      </c>
      <c r="C33" s="179">
        <v>2</v>
      </c>
      <c r="D33" s="16"/>
      <c r="E33" s="5"/>
      <c r="H33" s="115"/>
    </row>
    <row r="34" spans="1:10" ht="14.5" x14ac:dyDescent="0.35">
      <c r="B34" s="168" t="s">
        <v>353</v>
      </c>
      <c r="C34" s="167">
        <v>79</v>
      </c>
      <c r="D34" s="18" t="s">
        <v>352</v>
      </c>
      <c r="H34" s="115"/>
    </row>
    <row r="35" spans="1:10" x14ac:dyDescent="0.25">
      <c r="B35" s="114"/>
      <c r="H35" s="115"/>
    </row>
    <row r="36" spans="1:10" x14ac:dyDescent="0.25">
      <c r="B36" s="178" t="s">
        <v>367</v>
      </c>
      <c r="H36" s="115"/>
    </row>
    <row r="37" spans="1:10" ht="14.5" x14ac:dyDescent="0.35">
      <c r="B37" s="177" t="s">
        <v>366</v>
      </c>
      <c r="C37" s="176">
        <v>7</v>
      </c>
      <c r="D37" s="175" t="s">
        <v>21</v>
      </c>
      <c r="E37" s="5" t="s">
        <v>365</v>
      </c>
      <c r="F37" s="6">
        <f>+C37*C38/10*C40*C42*C41</f>
        <v>1.7688999999999997</v>
      </c>
      <c r="G37" s="5" t="s">
        <v>195</v>
      </c>
      <c r="H37" s="115" t="s">
        <v>364</v>
      </c>
    </row>
    <row r="38" spans="1:10" ht="14.5" x14ac:dyDescent="0.35">
      <c r="B38" s="171" t="s">
        <v>363</v>
      </c>
      <c r="C38" s="174">
        <v>4</v>
      </c>
      <c r="D38" s="172" t="s">
        <v>7</v>
      </c>
      <c r="F38" s="25">
        <f>F37*C39</f>
        <v>14.151199999999998</v>
      </c>
      <c r="G38" t="s">
        <v>362</v>
      </c>
      <c r="H38" s="115"/>
    </row>
    <row r="39" spans="1:10" ht="14.5" x14ac:dyDescent="0.35">
      <c r="B39" s="171" t="s">
        <v>361</v>
      </c>
      <c r="C39" s="173">
        <v>8</v>
      </c>
      <c r="D39" s="172" t="s">
        <v>360</v>
      </c>
      <c r="E39" s="5" t="s">
        <v>359</v>
      </c>
      <c r="F39" s="6">
        <f>+C9/F37</f>
        <v>42.399231160608295</v>
      </c>
      <c r="G39" s="5" t="s">
        <v>284</v>
      </c>
      <c r="H39" s="169" t="s">
        <v>358</v>
      </c>
    </row>
    <row r="40" spans="1:10" ht="14.5" x14ac:dyDescent="0.35">
      <c r="B40" s="171" t="s">
        <v>357</v>
      </c>
      <c r="C40" s="170">
        <v>0.7</v>
      </c>
      <c r="D40" s="16"/>
      <c r="F40" s="6">
        <f>F39/C39</f>
        <v>5.2999038950760369</v>
      </c>
      <c r="G40" t="s">
        <v>350</v>
      </c>
      <c r="H40" s="115"/>
    </row>
    <row r="41" spans="1:10" ht="14.5" x14ac:dyDescent="0.35">
      <c r="B41" s="114" t="s">
        <v>356</v>
      </c>
      <c r="C41" s="167">
        <v>0.95</v>
      </c>
      <c r="D41" s="16"/>
      <c r="E41" t="s">
        <v>355</v>
      </c>
      <c r="F41" s="25">
        <f>C43*F39</f>
        <v>3391.9384928486634</v>
      </c>
      <c r="G41" t="s">
        <v>348</v>
      </c>
      <c r="H41" s="115"/>
      <c r="I41" s="6"/>
    </row>
    <row r="42" spans="1:10" ht="14.5" x14ac:dyDescent="0.35">
      <c r="B42" s="114" t="s">
        <v>354</v>
      </c>
      <c r="C42" s="167">
        <v>0.95</v>
      </c>
      <c r="D42" s="16"/>
      <c r="H42" s="169"/>
      <c r="I42" s="25"/>
      <c r="J42" s="5"/>
    </row>
    <row r="43" spans="1:10" ht="14.5" x14ac:dyDescent="0.35">
      <c r="B43" s="168" t="s">
        <v>353</v>
      </c>
      <c r="C43" s="167">
        <v>80</v>
      </c>
      <c r="D43" s="18" t="s">
        <v>352</v>
      </c>
      <c r="H43" s="115"/>
    </row>
    <row r="44" spans="1:10" ht="14.5" x14ac:dyDescent="0.35">
      <c r="B44" s="114"/>
      <c r="C44" s="166"/>
      <c r="H44" s="115"/>
    </row>
    <row r="45" spans="1:10" ht="13" x14ac:dyDescent="0.3">
      <c r="B45" s="165" t="s">
        <v>351</v>
      </c>
      <c r="C45" s="127">
        <f>+F18+F29+F39</f>
        <v>89.810548937959254</v>
      </c>
      <c r="D45" s="2" t="s">
        <v>191</v>
      </c>
      <c r="E45" s="127">
        <f>F19+F30+F40</f>
        <v>10.041035672811134</v>
      </c>
      <c r="F45" s="2" t="s">
        <v>350</v>
      </c>
      <c r="H45" s="115"/>
    </row>
    <row r="46" spans="1:10" ht="13.5" thickBot="1" x14ac:dyDescent="0.35">
      <c r="B46" s="164" t="s">
        <v>349</v>
      </c>
      <c r="C46" s="163">
        <f>F20+F31+F41</f>
        <v>7137.4325972593888</v>
      </c>
      <c r="D46" s="162" t="s">
        <v>348</v>
      </c>
      <c r="E46" s="162"/>
      <c r="F46" s="162"/>
      <c r="G46" s="161"/>
      <c r="H46" s="119"/>
    </row>
    <row r="47" spans="1:10" ht="15.5" x14ac:dyDescent="0.35">
      <c r="A47" s="110" t="s">
        <v>264</v>
      </c>
    </row>
    <row r="49" spans="2:4" ht="13" thickBot="1" x14ac:dyDescent="0.3"/>
    <row r="50" spans="2:4" ht="13" x14ac:dyDescent="0.3">
      <c r="B50" s="160"/>
      <c r="C50" s="159" t="s">
        <v>347</v>
      </c>
      <c r="D50" s="158" t="s">
        <v>346</v>
      </c>
    </row>
    <row r="51" spans="2:4" ht="13" x14ac:dyDescent="0.3">
      <c r="B51" s="155" t="s">
        <v>345</v>
      </c>
      <c r="C51" s="157">
        <f>C45</f>
        <v>89.810548937959254</v>
      </c>
      <c r="D51" s="156">
        <f>K25</f>
        <v>79.145231499802151</v>
      </c>
    </row>
    <row r="52" spans="2:4" ht="13" x14ac:dyDescent="0.3">
      <c r="B52" s="155" t="s">
        <v>344</v>
      </c>
      <c r="C52" s="157">
        <f>E45</f>
        <v>10.041035672811134</v>
      </c>
      <c r="D52" s="156">
        <f>M25</f>
        <v>7.9145231499802149</v>
      </c>
    </row>
    <row r="53" spans="2:4" ht="13" x14ac:dyDescent="0.3">
      <c r="B53" s="155" t="s">
        <v>271</v>
      </c>
      <c r="C53" s="143">
        <f>C9/C51</f>
        <v>0.83509121018522758</v>
      </c>
      <c r="D53" s="154">
        <f>K24</f>
        <v>0.94762499999999983</v>
      </c>
    </row>
    <row r="54" spans="2:4" ht="13" x14ac:dyDescent="0.3">
      <c r="B54" s="153" t="s">
        <v>343</v>
      </c>
      <c r="C54" s="152">
        <f>C9/E45</f>
        <v>7.4693490237349849</v>
      </c>
      <c r="D54" s="151">
        <f>M24</f>
        <v>9.4762499999999985</v>
      </c>
    </row>
    <row r="55" spans="2:4" ht="13.5" thickBot="1" x14ac:dyDescent="0.35">
      <c r="B55" s="150" t="s">
        <v>342</v>
      </c>
      <c r="C55" s="149">
        <f>C46</f>
        <v>7137.4325972593888</v>
      </c>
      <c r="D55" s="148">
        <f>K26</f>
        <v>9497.4277799762585</v>
      </c>
    </row>
  </sheetData>
  <sheetProtection algorithmName="SHA-512" hashValue="P1n+Noj5TF5ZJ3Nju+P51GvOYYqdpb1MZW7wgbC2WKqXiVrbBFPoQMFsMyqUQ2C3owMs6rZxtBzs3hF7ULapVQ==" saltValue="gd2hNh/vUFOJCrh0vAVlIg==" spinCount="100000" sheet="1" objects="1" scenarios="1"/>
  <mergeCells count="1">
    <mergeCell ref="C3:L5"/>
  </mergeCells>
  <pageMargins left="0.7" right="0.7" top="0.75" bottom="0.75" header="0.3" footer="0.3"/>
  <drawing r:id="rId1"/>
  <picture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D8D57-EA7E-45C3-A153-D9F5C8CE9E6C}">
  <sheetPr codeName="Sheet7"/>
  <dimension ref="A1:K67"/>
  <sheetViews>
    <sheetView topLeftCell="A11" zoomScaleNormal="100" workbookViewId="0">
      <selection activeCell="D54" sqref="D54"/>
    </sheetView>
  </sheetViews>
  <sheetFormatPr defaultRowHeight="12.5" x14ac:dyDescent="0.25"/>
  <cols>
    <col min="1" max="1" width="23" bestFit="1" customWidth="1"/>
    <col min="2" max="2" width="27.453125" bestFit="1" customWidth="1"/>
    <col min="3" max="3" width="29.54296875" bestFit="1" customWidth="1"/>
    <col min="4" max="4" width="14.1796875" customWidth="1"/>
    <col min="6" max="6" width="17.26953125" customWidth="1"/>
    <col min="7" max="7" width="29.54296875" bestFit="1" customWidth="1"/>
    <col min="9" max="9" width="16.81640625" bestFit="1" customWidth="1"/>
    <col min="11" max="11" width="16.81640625" bestFit="1" customWidth="1"/>
  </cols>
  <sheetData>
    <row r="1" spans="1:11" ht="13" x14ac:dyDescent="0.3">
      <c r="A1" s="2" t="s">
        <v>341</v>
      </c>
    </row>
    <row r="2" spans="1:11" ht="14.25" customHeight="1" x14ac:dyDescent="0.25">
      <c r="B2" s="231" t="s">
        <v>340</v>
      </c>
      <c r="C2" s="231"/>
      <c r="D2" s="231"/>
      <c r="E2" s="231"/>
      <c r="F2" s="231"/>
    </row>
    <row r="3" spans="1:11" ht="14.25" customHeight="1" x14ac:dyDescent="0.25">
      <c r="B3" s="231"/>
      <c r="C3" s="231"/>
      <c r="D3" s="231"/>
      <c r="E3" s="231"/>
      <c r="F3" s="231"/>
    </row>
    <row r="6" spans="1:11" ht="13" thickBot="1" x14ac:dyDescent="0.3"/>
    <row r="7" spans="1:11" ht="15.5" x14ac:dyDescent="0.35">
      <c r="A7" s="110" t="s">
        <v>184</v>
      </c>
      <c r="C7" s="111" t="s">
        <v>185</v>
      </c>
      <c r="D7" s="112">
        <v>40</v>
      </c>
      <c r="E7" s="142" t="s">
        <v>186</v>
      </c>
    </row>
    <row r="8" spans="1:11" x14ac:dyDescent="0.25">
      <c r="C8" s="114" t="s">
        <v>307</v>
      </c>
      <c r="D8" s="33">
        <v>3000</v>
      </c>
      <c r="E8" s="141" t="s">
        <v>188</v>
      </c>
    </row>
    <row r="9" spans="1:11" ht="15.5" x14ac:dyDescent="0.4">
      <c r="C9" s="114" t="s">
        <v>201</v>
      </c>
      <c r="D9" s="33">
        <v>3</v>
      </c>
      <c r="E9" s="141" t="s">
        <v>202</v>
      </c>
      <c r="G9" t="s">
        <v>194</v>
      </c>
      <c r="H9" s="6">
        <f>D7/(D9*D10)</f>
        <v>1.3333333333333333</v>
      </c>
      <c r="I9" t="s">
        <v>195</v>
      </c>
    </row>
    <row r="10" spans="1:11" ht="16" thickBot="1" x14ac:dyDescent="0.45">
      <c r="C10" s="117" t="s">
        <v>305</v>
      </c>
      <c r="D10" s="118">
        <v>10</v>
      </c>
      <c r="E10" s="140" t="s">
        <v>204</v>
      </c>
      <c r="G10" t="s">
        <v>190</v>
      </c>
      <c r="H10">
        <f>D10*D9</f>
        <v>30</v>
      </c>
      <c r="I10" t="s">
        <v>191</v>
      </c>
    </row>
    <row r="14" spans="1:11" ht="13" thickBot="1" x14ac:dyDescent="0.3">
      <c r="A14" s="120"/>
      <c r="B14" s="120"/>
      <c r="C14" s="120"/>
      <c r="D14" s="120"/>
      <c r="E14" s="120"/>
      <c r="F14" s="120"/>
      <c r="G14" s="120"/>
      <c r="H14" s="120"/>
      <c r="I14" s="120"/>
      <c r="J14" s="120"/>
      <c r="K14" s="120"/>
    </row>
    <row r="15" spans="1:11" ht="16" thickTop="1" x14ac:dyDescent="0.35">
      <c r="A15" s="110" t="s">
        <v>205</v>
      </c>
      <c r="B15" s="2" t="s">
        <v>304</v>
      </c>
      <c r="C15" s="114" t="s">
        <v>288</v>
      </c>
      <c r="D15" s="121">
        <v>0.95</v>
      </c>
      <c r="E15" s="115"/>
    </row>
    <row r="16" spans="1:11" x14ac:dyDescent="0.25">
      <c r="C16" s="114" t="s">
        <v>303</v>
      </c>
      <c r="D16" s="33">
        <v>0.95</v>
      </c>
      <c r="E16" s="115"/>
    </row>
    <row r="17" spans="2:9" x14ac:dyDescent="0.25">
      <c r="C17" s="114" t="s">
        <v>302</v>
      </c>
      <c r="D17" s="122">
        <v>6</v>
      </c>
      <c r="E17" s="115" t="s">
        <v>7</v>
      </c>
    </row>
    <row r="18" spans="2:9" x14ac:dyDescent="0.25">
      <c r="C18" s="114" t="s">
        <v>221</v>
      </c>
      <c r="D18" s="33">
        <v>12</v>
      </c>
      <c r="E18" s="115" t="s">
        <v>21</v>
      </c>
    </row>
    <row r="19" spans="2:9" x14ac:dyDescent="0.25">
      <c r="C19" s="114" t="s">
        <v>223</v>
      </c>
      <c r="D19" s="33">
        <v>0.8</v>
      </c>
      <c r="E19" s="115"/>
      <c r="G19" t="s">
        <v>208</v>
      </c>
      <c r="H19" s="6">
        <f>D15*D16*D20*D19*D17*D18/10</f>
        <v>4.9384799999999993</v>
      </c>
      <c r="I19" t="s">
        <v>195</v>
      </c>
    </row>
    <row r="20" spans="2:9" ht="13" thickBot="1" x14ac:dyDescent="0.3">
      <c r="C20" s="117" t="s">
        <v>212</v>
      </c>
      <c r="D20" s="118">
        <v>0.95</v>
      </c>
      <c r="E20" s="119"/>
      <c r="G20" t="s">
        <v>285</v>
      </c>
      <c r="H20" s="6">
        <f>D7/H19</f>
        <v>8.0996581944241957</v>
      </c>
      <c r="I20" t="s">
        <v>191</v>
      </c>
    </row>
    <row r="22" spans="2:9" ht="13" thickBot="1" x14ac:dyDescent="0.3"/>
    <row r="23" spans="2:9" ht="13" x14ac:dyDescent="0.3">
      <c r="B23" s="2" t="s">
        <v>275</v>
      </c>
      <c r="C23" s="111" t="s">
        <v>301</v>
      </c>
      <c r="D23" s="112">
        <v>5</v>
      </c>
      <c r="E23" s="113" t="s">
        <v>191</v>
      </c>
    </row>
    <row r="24" spans="2:9" x14ac:dyDescent="0.25">
      <c r="C24" s="114" t="s">
        <v>274</v>
      </c>
      <c r="D24" s="33" t="s">
        <v>332</v>
      </c>
      <c r="E24" s="115"/>
    </row>
    <row r="25" spans="2:9" x14ac:dyDescent="0.25">
      <c r="C25" s="139" t="s">
        <v>298</v>
      </c>
      <c r="D25" s="33">
        <v>0.95</v>
      </c>
      <c r="E25" s="115"/>
    </row>
    <row r="26" spans="2:9" x14ac:dyDescent="0.25">
      <c r="C26" s="139" t="s">
        <v>297</v>
      </c>
      <c r="D26" s="33">
        <v>0.95</v>
      </c>
      <c r="E26" s="115"/>
    </row>
    <row r="27" spans="2:9" x14ac:dyDescent="0.25">
      <c r="C27" s="139" t="s">
        <v>296</v>
      </c>
      <c r="D27" s="33">
        <v>0.8</v>
      </c>
      <c r="E27" s="115"/>
    </row>
    <row r="28" spans="2:9" x14ac:dyDescent="0.25">
      <c r="C28" s="139" t="s">
        <v>295</v>
      </c>
      <c r="D28" s="33">
        <v>0.95</v>
      </c>
      <c r="E28" s="115"/>
      <c r="G28" t="s">
        <v>208</v>
      </c>
      <c r="H28" s="6">
        <f>D25*D26*D27*D28*D29*D30/10</f>
        <v>5.7615599999999985</v>
      </c>
      <c r="I28" t="s">
        <v>195</v>
      </c>
    </row>
    <row r="29" spans="2:9" x14ac:dyDescent="0.25">
      <c r="C29" s="139" t="s">
        <v>294</v>
      </c>
      <c r="D29" s="33">
        <v>12</v>
      </c>
      <c r="E29" s="115" t="s">
        <v>21</v>
      </c>
      <c r="G29" t="s">
        <v>285</v>
      </c>
      <c r="H29" s="6">
        <f>D7/H28</f>
        <v>6.9425641666493121</v>
      </c>
      <c r="I29" t="s">
        <v>284</v>
      </c>
    </row>
    <row r="30" spans="2:9" ht="13" thickBot="1" x14ac:dyDescent="0.3">
      <c r="C30" s="138" t="s">
        <v>293</v>
      </c>
      <c r="D30" s="137">
        <v>7</v>
      </c>
      <c r="E30" s="119" t="s">
        <v>7</v>
      </c>
      <c r="G30" t="s">
        <v>292</v>
      </c>
      <c r="H30" s="6">
        <f>IF(D24="Esikuivauksessa",D23,D23+H29)</f>
        <v>11.942564166649312</v>
      </c>
      <c r="I30" t="s">
        <v>191</v>
      </c>
    </row>
    <row r="33" spans="1:11" ht="13" thickBot="1" x14ac:dyDescent="0.3"/>
    <row r="34" spans="1:11" ht="13" x14ac:dyDescent="0.3">
      <c r="B34" s="2" t="s">
        <v>291</v>
      </c>
      <c r="C34" s="111" t="s">
        <v>290</v>
      </c>
      <c r="D34" s="135">
        <v>30</v>
      </c>
      <c r="E34" s="142" t="s">
        <v>193</v>
      </c>
      <c r="G34" t="s">
        <v>289</v>
      </c>
      <c r="H34" s="25">
        <f>D8/(D34/100)</f>
        <v>10000</v>
      </c>
      <c r="I34" t="s">
        <v>188</v>
      </c>
    </row>
    <row r="35" spans="1:11" ht="13" x14ac:dyDescent="0.3">
      <c r="B35" s="2"/>
      <c r="C35" s="114" t="s">
        <v>288</v>
      </c>
      <c r="D35" s="33">
        <v>0.95</v>
      </c>
      <c r="E35" s="141"/>
      <c r="G35" t="s">
        <v>287</v>
      </c>
      <c r="H35" s="6">
        <f>D30</f>
        <v>7</v>
      </c>
      <c r="I35" t="s">
        <v>7</v>
      </c>
    </row>
    <row r="36" spans="1:11" x14ac:dyDescent="0.25">
      <c r="C36" s="114" t="s">
        <v>339</v>
      </c>
      <c r="D36" s="33">
        <v>0.95</v>
      </c>
      <c r="E36" s="141"/>
      <c r="G36" t="s">
        <v>208</v>
      </c>
      <c r="H36" s="6">
        <f>D35*D36*D37*D38*H35/10</f>
        <v>4.0432000000000006</v>
      </c>
      <c r="I36" t="s">
        <v>195</v>
      </c>
    </row>
    <row r="37" spans="1:11" x14ac:dyDescent="0.25">
      <c r="C37" s="114" t="s">
        <v>223</v>
      </c>
      <c r="D37" s="33">
        <v>0.8</v>
      </c>
      <c r="E37" s="141"/>
      <c r="G37" t="s">
        <v>285</v>
      </c>
      <c r="H37" s="6">
        <f>D7/H36</f>
        <v>9.8931539374752653</v>
      </c>
      <c r="I37" t="s">
        <v>284</v>
      </c>
    </row>
    <row r="38" spans="1:11" ht="16" thickBot="1" x14ac:dyDescent="0.45">
      <c r="C38" s="117" t="s">
        <v>221</v>
      </c>
      <c r="D38" s="118">
        <v>8</v>
      </c>
      <c r="E38" s="140" t="s">
        <v>21</v>
      </c>
      <c r="G38" t="s">
        <v>283</v>
      </c>
      <c r="H38" s="25">
        <f>H34*H36</f>
        <v>40432.000000000007</v>
      </c>
      <c r="I38" t="s">
        <v>211</v>
      </c>
    </row>
    <row r="42" spans="1:11" ht="13" x14ac:dyDescent="0.3">
      <c r="B42" s="2" t="s">
        <v>277</v>
      </c>
      <c r="C42" s="127">
        <f>H20+H30+H37</f>
        <v>29.935376298548771</v>
      </c>
      <c r="D42" s="2" t="s">
        <v>191</v>
      </c>
    </row>
    <row r="45" spans="1:11" ht="13" thickBot="1" x14ac:dyDescent="0.3">
      <c r="A45" s="120"/>
      <c r="B45" s="120"/>
      <c r="C45" s="120"/>
      <c r="D45" s="120"/>
      <c r="E45" s="120"/>
      <c r="F45" s="120"/>
      <c r="G45" s="120"/>
      <c r="H45" s="120"/>
      <c r="I45" s="120"/>
      <c r="J45" s="120"/>
      <c r="K45" s="120"/>
    </row>
    <row r="46" spans="1:11" ht="16" thickTop="1" x14ac:dyDescent="0.35">
      <c r="A46" s="110" t="s">
        <v>224</v>
      </c>
      <c r="C46" s="114" t="s">
        <v>225</v>
      </c>
      <c r="D46" s="121">
        <v>0.9</v>
      </c>
      <c r="E46" s="115"/>
      <c r="G46" t="s">
        <v>226</v>
      </c>
      <c r="H46">
        <f>D47*D48</f>
        <v>8000</v>
      </c>
      <c r="I46" t="s">
        <v>227</v>
      </c>
    </row>
    <row r="47" spans="1:11" ht="14.5" x14ac:dyDescent="0.25">
      <c r="C47" s="114" t="s">
        <v>228</v>
      </c>
      <c r="D47" s="33">
        <v>40</v>
      </c>
      <c r="E47" s="115" t="s">
        <v>215</v>
      </c>
      <c r="G47" t="s">
        <v>338</v>
      </c>
      <c r="H47" s="25">
        <f>H38/1000</f>
        <v>40.432000000000009</v>
      </c>
      <c r="I47" t="s">
        <v>336</v>
      </c>
    </row>
    <row r="48" spans="1:11" ht="14.5" x14ac:dyDescent="0.25">
      <c r="C48" s="114" t="s">
        <v>322</v>
      </c>
      <c r="D48" s="147">
        <v>200</v>
      </c>
      <c r="E48" s="115" t="s">
        <v>321</v>
      </c>
      <c r="G48" t="s">
        <v>261</v>
      </c>
      <c r="H48" s="4">
        <f>D47*D48/H47</f>
        <v>197.86307874950529</v>
      </c>
      <c r="I48" t="s">
        <v>191</v>
      </c>
      <c r="J48" s="25">
        <f>H48*60</f>
        <v>11871.784724970317</v>
      </c>
      <c r="K48" t="s">
        <v>217</v>
      </c>
    </row>
    <row r="49" spans="1:11" x14ac:dyDescent="0.25">
      <c r="C49" s="125" t="s">
        <v>230</v>
      </c>
      <c r="D49" s="33">
        <v>2</v>
      </c>
      <c r="E49" s="115" t="s">
        <v>231</v>
      </c>
      <c r="G49" t="s">
        <v>234</v>
      </c>
      <c r="H49" s="4">
        <f>2*D49/D50</f>
        <v>0.26666666666666666</v>
      </c>
      <c r="I49" t="s">
        <v>191</v>
      </c>
      <c r="J49">
        <f>H49*60</f>
        <v>16</v>
      </c>
      <c r="K49" t="s">
        <v>217</v>
      </c>
    </row>
    <row r="50" spans="1:11" x14ac:dyDescent="0.25">
      <c r="C50" s="125" t="s">
        <v>233</v>
      </c>
      <c r="D50" s="33">
        <v>15</v>
      </c>
      <c r="E50" s="123" t="s">
        <v>21</v>
      </c>
      <c r="G50" t="s">
        <v>236</v>
      </c>
      <c r="H50" s="25">
        <f>(J49+D51)/D46</f>
        <v>28.888888888888889</v>
      </c>
      <c r="I50" t="s">
        <v>217</v>
      </c>
      <c r="J50" s="4">
        <f>H50/60</f>
        <v>0.48148148148148151</v>
      </c>
      <c r="K50" t="s">
        <v>191</v>
      </c>
    </row>
    <row r="51" spans="1:11" ht="13" thickBot="1" x14ac:dyDescent="0.3">
      <c r="C51" s="126" t="s">
        <v>235</v>
      </c>
      <c r="D51" s="118">
        <v>10</v>
      </c>
      <c r="E51" s="119" t="s">
        <v>217</v>
      </c>
      <c r="G51" t="s">
        <v>337</v>
      </c>
      <c r="H51" s="25">
        <f>D47*D48/J50/1000</f>
        <v>16.615384615384613</v>
      </c>
      <c r="I51" t="s">
        <v>336</v>
      </c>
    </row>
    <row r="54" spans="1:11" ht="13" x14ac:dyDescent="0.3">
      <c r="B54" s="2" t="s">
        <v>240</v>
      </c>
      <c r="D54" s="127">
        <f>H47/H51</f>
        <v>2.4334074074074081</v>
      </c>
      <c r="E54" s="2" t="s">
        <v>43</v>
      </c>
    </row>
    <row r="58" spans="1:11" ht="13" thickBot="1" x14ac:dyDescent="0.3">
      <c r="A58" s="120"/>
      <c r="B58" s="120"/>
      <c r="C58" s="120"/>
      <c r="D58" s="120"/>
      <c r="E58" s="120"/>
      <c r="F58" s="120"/>
      <c r="G58" s="120"/>
      <c r="H58" s="120"/>
      <c r="I58" s="120"/>
      <c r="J58" s="120"/>
      <c r="K58" s="120"/>
    </row>
    <row r="59" spans="1:11" ht="16" thickTop="1" x14ac:dyDescent="0.35">
      <c r="A59" s="110" t="s">
        <v>315</v>
      </c>
      <c r="C59" t="s">
        <v>314</v>
      </c>
      <c r="D59">
        <v>3</v>
      </c>
      <c r="E59" t="s">
        <v>313</v>
      </c>
    </row>
    <row r="60" spans="1:11" ht="13" x14ac:dyDescent="0.3">
      <c r="C60" t="s">
        <v>312</v>
      </c>
      <c r="D60">
        <f>H46/1000*D59</f>
        <v>24</v>
      </c>
      <c r="E60" t="s">
        <v>311</v>
      </c>
      <c r="F60" s="131" t="str">
        <f>IF(D60&gt;J48,"Tiivistämiseen kuluu enemmän aikaa kuin kuorman täyttöön, tämä voi ruuhkauttaa korjuuta!","")</f>
        <v/>
      </c>
    </row>
    <row r="63" spans="1:11" ht="13" thickBot="1" x14ac:dyDescent="0.3">
      <c r="A63" s="120"/>
      <c r="B63" s="120"/>
      <c r="C63" s="120"/>
      <c r="D63" s="120"/>
      <c r="E63" s="120"/>
      <c r="F63" s="120"/>
      <c r="G63" s="120"/>
      <c r="H63" s="120"/>
      <c r="I63" s="120"/>
      <c r="J63" s="120"/>
      <c r="K63" s="120"/>
    </row>
    <row r="64" spans="1:11" ht="16" thickTop="1" x14ac:dyDescent="0.35">
      <c r="A64" s="110" t="s">
        <v>264</v>
      </c>
      <c r="C64" s="144"/>
      <c r="D64" s="144" t="s">
        <v>276</v>
      </c>
      <c r="E64" s="144" t="s">
        <v>275</v>
      </c>
      <c r="F64" s="144" t="s">
        <v>274</v>
      </c>
      <c r="G64" s="144" t="s">
        <v>273</v>
      </c>
      <c r="H64" s="144" t="s">
        <v>224</v>
      </c>
      <c r="I64" s="144" t="s">
        <v>272</v>
      </c>
    </row>
    <row r="65" spans="3:9" x14ac:dyDescent="0.25">
      <c r="C65" s="134" t="s">
        <v>271</v>
      </c>
      <c r="D65" s="133">
        <f>H19</f>
        <v>4.9384799999999993</v>
      </c>
      <c r="E65" s="134"/>
      <c r="F65" s="133">
        <f>H28</f>
        <v>5.7615599999999985</v>
      </c>
      <c r="G65" s="133">
        <f>H36</f>
        <v>4.0432000000000006</v>
      </c>
      <c r="H65" s="134"/>
      <c r="I65" s="133">
        <f>D7/C42</f>
        <v>1.3362116981953271</v>
      </c>
    </row>
    <row r="66" spans="3:9" x14ac:dyDescent="0.25">
      <c r="C66" s="134" t="s">
        <v>270</v>
      </c>
      <c r="D66" s="133">
        <f>H20</f>
        <v>8.0996581944241957</v>
      </c>
      <c r="E66" s="134">
        <f>D23</f>
        <v>5</v>
      </c>
      <c r="F66" s="133">
        <f>IF(D24="Esikuivauksessa",0,H29)</f>
        <v>6.9425641666493121</v>
      </c>
      <c r="G66" s="133">
        <f>H37</f>
        <v>9.8931539374752653</v>
      </c>
      <c r="H66" s="133">
        <f>H49</f>
        <v>0.26666666666666666</v>
      </c>
      <c r="I66" s="133">
        <f>SUM(D66:G66)</f>
        <v>29.935376298548771</v>
      </c>
    </row>
    <row r="67" spans="3:9" x14ac:dyDescent="0.25">
      <c r="C67" s="134"/>
      <c r="D67" s="134"/>
      <c r="E67" s="134"/>
      <c r="F67" s="134"/>
      <c r="G67" s="134"/>
      <c r="H67" s="134"/>
      <c r="I67" s="134"/>
    </row>
  </sheetData>
  <sheetProtection algorithmName="SHA-512" hashValue="OEpqfoNtmmIz9tlUgKeL/6FquwraaA1F/3+Qpf+d2LWSVTRQkOglYqxgebh80on7+hp5TgdpXd0hD4Vfs95u7w==" saltValue="YJzZ+3U6aNvsxQUPGQVkZA==" spinCount="100000" sheet="1" objects="1" scenarios="1"/>
  <mergeCells count="1">
    <mergeCell ref="B2:F3"/>
  </mergeCells>
  <dataValidations count="2">
    <dataValidation type="list" allowBlank="1" showInputMessage="1" showErrorMessage="1" sqref="D24" xr:uid="{98F4924D-1217-4D87-86B2-DED66C429983}">
      <formula1>"Esikuivauksessa,Erikseen"</formula1>
    </dataValidation>
    <dataValidation type="custom" allowBlank="1" showInputMessage="1" showErrorMessage="1" sqref="H34" xr:uid="{7EBF9F7F-7AF2-4E45-9558-D33891146A36}">
      <formula1>"""Älä muuta tätä"""</formula1>
    </dataValidation>
  </dataValidation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80E49-8B58-4AA1-A669-4FF24F5123E7}">
  <sheetPr codeName="Sheet8"/>
  <dimension ref="A1:K61"/>
  <sheetViews>
    <sheetView topLeftCell="A27" zoomScaleNormal="100" workbookViewId="0">
      <selection activeCell="K56" sqref="K56"/>
    </sheetView>
  </sheetViews>
  <sheetFormatPr defaultRowHeight="12.5" x14ac:dyDescent="0.25"/>
  <cols>
    <col min="1" max="1" width="23" bestFit="1" customWidth="1"/>
    <col min="2" max="2" width="28" bestFit="1" customWidth="1"/>
    <col min="3" max="3" width="29.54296875" bestFit="1" customWidth="1"/>
    <col min="4" max="4" width="14.1796875" customWidth="1"/>
    <col min="6" max="6" width="17.26953125" customWidth="1"/>
    <col min="7" max="7" width="31.54296875" bestFit="1" customWidth="1"/>
    <col min="8" max="8" width="16.81640625" bestFit="1" customWidth="1"/>
    <col min="9" max="9" width="6.453125" customWidth="1"/>
    <col min="10" max="10" width="4.7265625" customWidth="1"/>
  </cols>
  <sheetData>
    <row r="1" spans="1:10" ht="13" x14ac:dyDescent="0.3">
      <c r="A1" s="2" t="s">
        <v>335</v>
      </c>
    </row>
    <row r="2" spans="1:10" x14ac:dyDescent="0.25">
      <c r="B2" s="228" t="s">
        <v>308</v>
      </c>
      <c r="C2" s="228"/>
      <c r="D2" s="228"/>
    </row>
    <row r="3" spans="1:10" x14ac:dyDescent="0.25">
      <c r="B3" s="228"/>
      <c r="C3" s="228"/>
      <c r="D3" s="228"/>
    </row>
    <row r="5" spans="1:10" ht="13" thickBot="1" x14ac:dyDescent="0.3"/>
    <row r="6" spans="1:10" ht="15.5" x14ac:dyDescent="0.35">
      <c r="A6" s="110" t="s">
        <v>184</v>
      </c>
      <c r="C6" s="111" t="s">
        <v>185</v>
      </c>
      <c r="D6" s="112">
        <v>40</v>
      </c>
      <c r="E6" s="142" t="s">
        <v>186</v>
      </c>
    </row>
    <row r="7" spans="1:10" x14ac:dyDescent="0.25">
      <c r="C7" s="114" t="s">
        <v>307</v>
      </c>
      <c r="D7" s="33">
        <v>3000</v>
      </c>
      <c r="E7" s="141" t="s">
        <v>188</v>
      </c>
      <c r="G7" t="s">
        <v>334</v>
      </c>
      <c r="H7">
        <f>D6*D7/1000</f>
        <v>120</v>
      </c>
      <c r="I7" t="s">
        <v>333</v>
      </c>
    </row>
    <row r="8" spans="1:10" ht="15.5" x14ac:dyDescent="0.4">
      <c r="C8" s="114" t="s">
        <v>306</v>
      </c>
      <c r="D8" s="33">
        <v>3</v>
      </c>
      <c r="E8" s="141" t="s">
        <v>202</v>
      </c>
      <c r="G8" t="s">
        <v>194</v>
      </c>
      <c r="H8" s="6">
        <f>D6/(D8*D9)</f>
        <v>1.3333333333333333</v>
      </c>
      <c r="I8" t="s">
        <v>195</v>
      </c>
    </row>
    <row r="9" spans="1:10" ht="16" thickBot="1" x14ac:dyDescent="0.45">
      <c r="C9" s="117" t="s">
        <v>305</v>
      </c>
      <c r="D9" s="118">
        <v>10</v>
      </c>
      <c r="E9" s="140" t="s">
        <v>204</v>
      </c>
      <c r="G9" t="s">
        <v>190</v>
      </c>
      <c r="H9">
        <f>D9*D8</f>
        <v>30</v>
      </c>
      <c r="I9" t="s">
        <v>191</v>
      </c>
    </row>
    <row r="13" spans="1:10" ht="13" thickBot="1" x14ac:dyDescent="0.3">
      <c r="A13" s="120"/>
      <c r="B13" s="120"/>
      <c r="C13" s="120"/>
      <c r="D13" s="120"/>
      <c r="E13" s="120"/>
      <c r="F13" s="120"/>
      <c r="G13" s="120"/>
      <c r="H13" s="120"/>
      <c r="I13" s="120"/>
      <c r="J13" s="120"/>
    </row>
    <row r="14" spans="1:10" ht="16" thickTop="1" x14ac:dyDescent="0.35">
      <c r="A14" s="110" t="s">
        <v>205</v>
      </c>
      <c r="B14" s="2" t="s">
        <v>304</v>
      </c>
      <c r="C14" s="114" t="s">
        <v>288</v>
      </c>
      <c r="D14" s="121">
        <v>0.95</v>
      </c>
      <c r="E14" s="115"/>
    </row>
    <row r="15" spans="1:10" x14ac:dyDescent="0.25">
      <c r="C15" s="114" t="s">
        <v>303</v>
      </c>
      <c r="D15" s="33">
        <v>0.95</v>
      </c>
      <c r="E15" s="115"/>
    </row>
    <row r="16" spans="1:10" x14ac:dyDescent="0.25">
      <c r="C16" s="114" t="s">
        <v>302</v>
      </c>
      <c r="D16" s="122">
        <v>6</v>
      </c>
      <c r="E16" s="115" t="s">
        <v>7</v>
      </c>
    </row>
    <row r="17" spans="2:9" x14ac:dyDescent="0.25">
      <c r="C17" s="114" t="s">
        <v>221</v>
      </c>
      <c r="D17" s="33">
        <v>12</v>
      </c>
      <c r="E17" s="115" t="s">
        <v>21</v>
      </c>
    </row>
    <row r="18" spans="2:9" x14ac:dyDescent="0.25">
      <c r="C18" s="114" t="s">
        <v>223</v>
      </c>
      <c r="D18" s="33">
        <v>0.8</v>
      </c>
      <c r="E18" s="115"/>
      <c r="G18" t="s">
        <v>208</v>
      </c>
      <c r="H18" s="6">
        <f>D14*D15*D19*D18*D16*D17/10</f>
        <v>4.9384799999999993</v>
      </c>
      <c r="I18" t="s">
        <v>195</v>
      </c>
    </row>
    <row r="19" spans="2:9" ht="13" thickBot="1" x14ac:dyDescent="0.3">
      <c r="C19" s="117" t="s">
        <v>212</v>
      </c>
      <c r="D19" s="118">
        <v>0.95</v>
      </c>
      <c r="E19" s="119"/>
      <c r="G19" t="s">
        <v>285</v>
      </c>
      <c r="H19" s="6">
        <f>D6/H18</f>
        <v>8.0996581944241957</v>
      </c>
      <c r="I19" t="s">
        <v>191</v>
      </c>
    </row>
    <row r="21" spans="2:9" ht="13" thickBot="1" x14ac:dyDescent="0.3"/>
    <row r="22" spans="2:9" ht="13" x14ac:dyDescent="0.3">
      <c r="B22" s="2" t="s">
        <v>275</v>
      </c>
      <c r="C22" s="111" t="s">
        <v>301</v>
      </c>
      <c r="D22" s="112">
        <v>5</v>
      </c>
      <c r="E22" s="113" t="s">
        <v>191</v>
      </c>
    </row>
    <row r="23" spans="2:9" x14ac:dyDescent="0.25">
      <c r="C23" s="114" t="s">
        <v>274</v>
      </c>
      <c r="D23" s="33" t="s">
        <v>332</v>
      </c>
      <c r="E23" s="115"/>
    </row>
    <row r="24" spans="2:9" x14ac:dyDescent="0.25">
      <c r="C24" s="139" t="s">
        <v>298</v>
      </c>
      <c r="D24" s="33">
        <v>0.95</v>
      </c>
      <c r="E24" s="115"/>
    </row>
    <row r="25" spans="2:9" x14ac:dyDescent="0.25">
      <c r="C25" s="139" t="s">
        <v>297</v>
      </c>
      <c r="D25" s="33">
        <v>0.95</v>
      </c>
      <c r="E25" s="115"/>
    </row>
    <row r="26" spans="2:9" x14ac:dyDescent="0.25">
      <c r="C26" s="139" t="s">
        <v>296</v>
      </c>
      <c r="D26" s="33">
        <v>0.8</v>
      </c>
      <c r="E26" s="115"/>
    </row>
    <row r="27" spans="2:9" x14ac:dyDescent="0.25">
      <c r="C27" s="139" t="s">
        <v>295</v>
      </c>
      <c r="D27" s="33">
        <v>0.95</v>
      </c>
      <c r="E27" s="115"/>
      <c r="G27" t="s">
        <v>208</v>
      </c>
      <c r="H27" s="6">
        <f>D24*D25*D26*D27*D28*D29/10</f>
        <v>8.2307999999999986</v>
      </c>
      <c r="I27" t="s">
        <v>195</v>
      </c>
    </row>
    <row r="28" spans="2:9" x14ac:dyDescent="0.25">
      <c r="C28" s="139" t="s">
        <v>294</v>
      </c>
      <c r="D28" s="33">
        <v>12</v>
      </c>
      <c r="E28" s="115" t="s">
        <v>21</v>
      </c>
      <c r="G28" t="s">
        <v>331</v>
      </c>
      <c r="H28" s="6">
        <f>D6/H27</f>
        <v>4.8597949166545185</v>
      </c>
      <c r="I28" t="s">
        <v>284</v>
      </c>
    </row>
    <row r="29" spans="2:9" ht="13" thickBot="1" x14ac:dyDescent="0.3">
      <c r="C29" s="138" t="s">
        <v>293</v>
      </c>
      <c r="D29" s="137">
        <v>10</v>
      </c>
      <c r="E29" s="119" t="s">
        <v>7</v>
      </c>
      <c r="G29" t="s">
        <v>292</v>
      </c>
      <c r="H29" s="6">
        <f>IF(D23="Esikuivauksessa",D22,D22+H28)</f>
        <v>9.8597949166545185</v>
      </c>
      <c r="I29" t="s">
        <v>191</v>
      </c>
    </row>
    <row r="32" spans="2:9" ht="13" thickBot="1" x14ac:dyDescent="0.3"/>
    <row r="33" spans="1:11" ht="13" x14ac:dyDescent="0.3">
      <c r="B33" s="2" t="s">
        <v>330</v>
      </c>
      <c r="C33" s="136" t="s">
        <v>290</v>
      </c>
      <c r="D33" s="135">
        <v>30</v>
      </c>
      <c r="E33" s="113" t="s">
        <v>193</v>
      </c>
      <c r="F33" s="2" t="s">
        <v>329</v>
      </c>
      <c r="G33" t="s">
        <v>289</v>
      </c>
      <c r="H33" s="25">
        <f>D7/(D33/100)</f>
        <v>10000</v>
      </c>
      <c r="I33" t="s">
        <v>188</v>
      </c>
    </row>
    <row r="34" spans="1:11" ht="13" x14ac:dyDescent="0.3">
      <c r="B34" s="2"/>
      <c r="C34" s="125" t="s">
        <v>288</v>
      </c>
      <c r="D34" s="33">
        <v>0.95</v>
      </c>
      <c r="E34" s="115"/>
      <c r="G34" t="s">
        <v>328</v>
      </c>
      <c r="H34">
        <f>H33*D6/1000</f>
        <v>400</v>
      </c>
      <c r="I34" t="s">
        <v>5</v>
      </c>
    </row>
    <row r="35" spans="1:11" x14ac:dyDescent="0.25">
      <c r="C35" s="125" t="s">
        <v>327</v>
      </c>
      <c r="D35" s="33">
        <v>0.95</v>
      </c>
      <c r="E35" s="115"/>
      <c r="G35" t="s">
        <v>287</v>
      </c>
      <c r="H35" s="6">
        <f>D29</f>
        <v>10</v>
      </c>
      <c r="I35" t="s">
        <v>7</v>
      </c>
    </row>
    <row r="36" spans="1:11" x14ac:dyDescent="0.25">
      <c r="C36" s="125" t="s">
        <v>223</v>
      </c>
      <c r="D36" s="33">
        <v>0.8</v>
      </c>
      <c r="E36" s="115"/>
      <c r="G36" t="s">
        <v>326</v>
      </c>
      <c r="H36" s="6">
        <f>D14*D34*D35*D36*D37*H35/10</f>
        <v>5.4871999999999996</v>
      </c>
      <c r="I36" t="s">
        <v>195</v>
      </c>
    </row>
    <row r="37" spans="1:11" x14ac:dyDescent="0.25">
      <c r="C37" s="125" t="s">
        <v>325</v>
      </c>
      <c r="D37" s="33">
        <v>8</v>
      </c>
      <c r="E37" s="115" t="s">
        <v>21</v>
      </c>
      <c r="G37" t="s">
        <v>324</v>
      </c>
      <c r="H37" s="6">
        <f>D6/H36</f>
        <v>7.2896923749817759</v>
      </c>
      <c r="I37" t="s">
        <v>284</v>
      </c>
    </row>
    <row r="38" spans="1:11" ht="16" x14ac:dyDescent="0.4">
      <c r="C38" s="125" t="s">
        <v>228</v>
      </c>
      <c r="D38" s="33">
        <v>40</v>
      </c>
      <c r="E38" s="115" t="s">
        <v>215</v>
      </c>
      <c r="G38" t="s">
        <v>323</v>
      </c>
      <c r="H38" s="25">
        <f>H33*H36</f>
        <v>54871.999999999993</v>
      </c>
      <c r="I38" t="s">
        <v>211</v>
      </c>
    </row>
    <row r="39" spans="1:11" ht="14.5" x14ac:dyDescent="0.25">
      <c r="C39" s="125" t="s">
        <v>322</v>
      </c>
      <c r="D39" s="33">
        <v>200</v>
      </c>
      <c r="E39" s="115" t="s">
        <v>321</v>
      </c>
      <c r="G39" t="s">
        <v>226</v>
      </c>
      <c r="H39">
        <f>D38*D39</f>
        <v>8000</v>
      </c>
      <c r="I39" t="s">
        <v>227</v>
      </c>
    </row>
    <row r="40" spans="1:11" ht="14.5" x14ac:dyDescent="0.25">
      <c r="C40" s="125" t="s">
        <v>230</v>
      </c>
      <c r="D40" s="33">
        <v>2</v>
      </c>
      <c r="E40" s="115" t="s">
        <v>231</v>
      </c>
      <c r="G40" t="s">
        <v>320</v>
      </c>
      <c r="H40" s="25">
        <f>H38/D39</f>
        <v>274.35999999999996</v>
      </c>
      <c r="I40" t="s">
        <v>238</v>
      </c>
    </row>
    <row r="41" spans="1:11" ht="13" x14ac:dyDescent="0.3">
      <c r="B41" s="2"/>
      <c r="C41" s="125" t="s">
        <v>233</v>
      </c>
      <c r="D41" s="33">
        <v>15</v>
      </c>
      <c r="E41" s="115" t="s">
        <v>21</v>
      </c>
      <c r="G41" t="s">
        <v>261</v>
      </c>
      <c r="H41" s="4">
        <f>D38/H40</f>
        <v>0.14579384749963553</v>
      </c>
      <c r="I41" t="s">
        <v>191</v>
      </c>
      <c r="J41" s="25">
        <f>H41*60</f>
        <v>8.7476308499781315</v>
      </c>
      <c r="K41" t="s">
        <v>217</v>
      </c>
    </row>
    <row r="42" spans="1:11" x14ac:dyDescent="0.25">
      <c r="C42" s="125" t="s">
        <v>235</v>
      </c>
      <c r="D42" s="33">
        <v>10</v>
      </c>
      <c r="E42" s="146" t="s">
        <v>217</v>
      </c>
      <c r="G42" t="s">
        <v>234</v>
      </c>
      <c r="H42" s="4">
        <f>2*D40/D41</f>
        <v>0.26666666666666666</v>
      </c>
      <c r="I42" t="s">
        <v>191</v>
      </c>
      <c r="J42">
        <f>H42*60</f>
        <v>16</v>
      </c>
      <c r="K42" t="s">
        <v>217</v>
      </c>
    </row>
    <row r="43" spans="1:11" ht="13" thickBot="1" x14ac:dyDescent="0.3">
      <c r="C43" s="126" t="s">
        <v>319</v>
      </c>
      <c r="D43" s="118">
        <v>1</v>
      </c>
      <c r="E43" s="145" t="s">
        <v>43</v>
      </c>
      <c r="G43" t="s">
        <v>318</v>
      </c>
      <c r="H43" s="4">
        <f>H41+H42+D42/60</f>
        <v>0.57912718083296888</v>
      </c>
      <c r="I43" t="s">
        <v>191</v>
      </c>
    </row>
    <row r="44" spans="1:11" x14ac:dyDescent="0.25">
      <c r="G44" t="s">
        <v>317</v>
      </c>
      <c r="H44" s="25">
        <f>H39/H43</f>
        <v>13813.891429674322</v>
      </c>
      <c r="I44" t="s">
        <v>211</v>
      </c>
    </row>
    <row r="45" spans="1:11" ht="13" x14ac:dyDescent="0.3">
      <c r="A45" s="2"/>
      <c r="G45" t="s">
        <v>285</v>
      </c>
      <c r="H45" s="6">
        <f>H34*1000/H44</f>
        <v>28.956359041648444</v>
      </c>
      <c r="I45" t="s">
        <v>191</v>
      </c>
    </row>
    <row r="46" spans="1:11" x14ac:dyDescent="0.25">
      <c r="G46" t="s">
        <v>316</v>
      </c>
      <c r="H46" s="6">
        <f>D6/H45</f>
        <v>1.3813891429674321</v>
      </c>
      <c r="I46" t="s">
        <v>195</v>
      </c>
    </row>
    <row r="47" spans="1:11" x14ac:dyDescent="0.25">
      <c r="H47" s="6"/>
    </row>
    <row r="48" spans="1:11" ht="13" x14ac:dyDescent="0.3">
      <c r="F48" s="2" t="str">
        <f>IF(D43&gt;1,"Kaikki vaunut","")</f>
        <v/>
      </c>
      <c r="G48" t="str">
        <f>IF(D43&gt;1,"Massavirtaus","")</f>
        <v/>
      </c>
      <c r="H48" s="25" t="str">
        <f>IF(D43&gt;1,D43*H44,"")</f>
        <v/>
      </c>
      <c r="I48" t="str">
        <f>IF(D43&gt;1,"kg/h","")</f>
        <v/>
      </c>
    </row>
    <row r="49" spans="1:9" x14ac:dyDescent="0.25">
      <c r="G49" t="str">
        <f>IF(D43&gt;1,"Työaika","")</f>
        <v/>
      </c>
      <c r="H49" s="6" t="str">
        <f>IF(D43&gt;1,H34*1000/H48,"")</f>
        <v/>
      </c>
      <c r="I49" t="str">
        <f>IF(D43&gt;1,"h","")</f>
        <v/>
      </c>
    </row>
    <row r="50" spans="1:9" x14ac:dyDescent="0.25">
      <c r="G50" t="str">
        <f>IF(D43&gt;1,"Työsaavutus korjuussa ja kuljetuksessa","")</f>
        <v/>
      </c>
      <c r="H50" s="6" t="str">
        <f>IF(D43&gt;1,D6/H49,"")</f>
        <v/>
      </c>
      <c r="I50" t="str">
        <f>IF(D43&gt;1,"ha/h","")</f>
        <v/>
      </c>
    </row>
    <row r="51" spans="1:9" x14ac:dyDescent="0.25">
      <c r="H51" s="6"/>
    </row>
    <row r="53" spans="1:9" ht="13" thickBot="1" x14ac:dyDescent="0.3">
      <c r="A53" s="120"/>
      <c r="B53" s="120"/>
      <c r="C53" s="120"/>
      <c r="E53" s="120"/>
      <c r="F53" s="120"/>
      <c r="G53" s="120"/>
      <c r="H53" s="120"/>
      <c r="I53" s="120"/>
    </row>
    <row r="54" spans="1:9" ht="16" thickTop="1" x14ac:dyDescent="0.35">
      <c r="A54" s="110" t="s">
        <v>315</v>
      </c>
      <c r="C54" t="s">
        <v>314</v>
      </c>
      <c r="D54" s="33">
        <v>3</v>
      </c>
      <c r="E54" t="s">
        <v>313</v>
      </c>
    </row>
    <row r="55" spans="1:9" ht="13" x14ac:dyDescent="0.3">
      <c r="C55" t="s">
        <v>312</v>
      </c>
      <c r="D55">
        <f>H39/1000*D54</f>
        <v>24</v>
      </c>
      <c r="E55" t="s">
        <v>311</v>
      </c>
      <c r="F55" s="131" t="str">
        <f>IF(D55&gt;H43*60,"Tiivistämiseen kuluu enemmän aikaa kuin kuorman täyttöön, tämä voi ruuhkauttaa korjuuta!","")</f>
        <v/>
      </c>
    </row>
    <row r="58" spans="1:9" ht="13" thickBot="1" x14ac:dyDescent="0.3">
      <c r="A58" s="120"/>
      <c r="B58" s="120"/>
      <c r="C58" s="120"/>
      <c r="D58" s="120"/>
      <c r="E58" s="120"/>
      <c r="F58" s="120"/>
      <c r="G58" s="120"/>
      <c r="H58" s="120"/>
      <c r="I58" s="120"/>
    </row>
    <row r="59" spans="1:9" ht="16" thickTop="1" x14ac:dyDescent="0.35">
      <c r="A59" s="110" t="s">
        <v>264</v>
      </c>
      <c r="C59" s="144"/>
      <c r="D59" s="144" t="s">
        <v>276</v>
      </c>
      <c r="E59" s="144" t="s">
        <v>275</v>
      </c>
      <c r="F59" s="144" t="s">
        <v>274</v>
      </c>
      <c r="G59" s="144" t="s">
        <v>310</v>
      </c>
      <c r="H59" s="144" t="s">
        <v>272</v>
      </c>
    </row>
    <row r="60" spans="1:9" ht="13" x14ac:dyDescent="0.3">
      <c r="C60" s="134" t="s">
        <v>271</v>
      </c>
      <c r="D60" s="133">
        <f>H18</f>
        <v>4.9384799999999993</v>
      </c>
      <c r="E60" s="134"/>
      <c r="F60" s="133">
        <f>H27</f>
        <v>8.2307999999999986</v>
      </c>
      <c r="G60" s="133">
        <f>IF(H50="",H46,H50)</f>
        <v>1.3813891429674321</v>
      </c>
      <c r="H60" s="143">
        <f>D6/H61</f>
        <v>0.85259101707088003</v>
      </c>
    </row>
    <row r="61" spans="1:9" ht="13" x14ac:dyDescent="0.3">
      <c r="C61" s="134" t="s">
        <v>270</v>
      </c>
      <c r="D61" s="133">
        <f>H19</f>
        <v>8.0996581944241957</v>
      </c>
      <c r="E61" s="133">
        <f>D22</f>
        <v>5</v>
      </c>
      <c r="F61" s="133">
        <f>H28</f>
        <v>4.8597949166545185</v>
      </c>
      <c r="G61" s="133">
        <f>IF(H49="",H45,H49)</f>
        <v>28.956359041648444</v>
      </c>
      <c r="H61" s="143">
        <f>SUM(D61:G61)</f>
        <v>46.915812152727156</v>
      </c>
    </row>
  </sheetData>
  <sheetProtection algorithmName="SHA-512" hashValue="voE7PO3J+8KPv90Acj1QYkySxg4CbyUKG5Bva8oRyL+vFpgtKqYL06X7TFQcBNWkX6CseQcxL7xa67dCFWXJDQ==" saltValue="O1tySCWsbzRu8DiZdoPIFQ==" spinCount="100000" sheet="1" objects="1" scenarios="1"/>
  <mergeCells count="1">
    <mergeCell ref="B2:D3"/>
  </mergeCells>
  <dataValidations disablePrompts="1" count="2">
    <dataValidation type="custom" allowBlank="1" showInputMessage="1" showErrorMessage="1" sqref="H33" xr:uid="{AE3900EE-7893-4B58-B3C3-5C872DDB04DC}">
      <formula1>"""Älä muuta tätä"""</formula1>
    </dataValidation>
    <dataValidation type="list" allowBlank="1" showInputMessage="1" showErrorMessage="1" sqref="D23" xr:uid="{9A3D8820-A728-469C-9943-6A61208F3B5E}">
      <formula1>"Esikuivauksessa,Erikseen"</formula1>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365D6-C49D-405C-8AF5-DEF60E1907C3}">
  <sheetPr codeName="Sheet9"/>
  <dimension ref="A1:I49"/>
  <sheetViews>
    <sheetView topLeftCell="A5" zoomScaleNormal="100" workbookViewId="0">
      <selection activeCell="D33" sqref="D33:D38"/>
    </sheetView>
  </sheetViews>
  <sheetFormatPr defaultRowHeight="12.5" x14ac:dyDescent="0.25"/>
  <cols>
    <col min="1" max="1" width="23" bestFit="1" customWidth="1"/>
    <col min="2" max="2" width="27.453125" bestFit="1" customWidth="1"/>
    <col min="3" max="3" width="29.54296875" bestFit="1" customWidth="1"/>
    <col min="4" max="4" width="14.1796875" customWidth="1"/>
    <col min="6" max="6" width="17.26953125" customWidth="1"/>
    <col min="7" max="7" width="29.54296875" bestFit="1" customWidth="1"/>
    <col min="8" max="8" width="16.81640625" bestFit="1" customWidth="1"/>
    <col min="11" max="11" width="16.81640625" bestFit="1" customWidth="1"/>
  </cols>
  <sheetData>
    <row r="1" spans="1:9" x14ac:dyDescent="0.25">
      <c r="A1" t="s">
        <v>309</v>
      </c>
    </row>
    <row r="2" spans="1:9" x14ac:dyDescent="0.25">
      <c r="B2" s="231" t="s">
        <v>308</v>
      </c>
      <c r="C2" s="231"/>
      <c r="D2" s="231"/>
    </row>
    <row r="3" spans="1:9" x14ac:dyDescent="0.25">
      <c r="B3" s="231"/>
      <c r="C3" s="231"/>
      <c r="D3" s="231"/>
    </row>
    <row r="5" spans="1:9" ht="13" thickBot="1" x14ac:dyDescent="0.3"/>
    <row r="6" spans="1:9" ht="15.5" x14ac:dyDescent="0.35">
      <c r="A6" s="110" t="s">
        <v>184</v>
      </c>
      <c r="C6" s="111" t="s">
        <v>185</v>
      </c>
      <c r="D6" s="112">
        <v>40</v>
      </c>
      <c r="E6" s="142" t="s">
        <v>186</v>
      </c>
    </row>
    <row r="7" spans="1:9" x14ac:dyDescent="0.25">
      <c r="C7" s="114" t="s">
        <v>307</v>
      </c>
      <c r="D7" s="33">
        <v>3000</v>
      </c>
      <c r="E7" s="141" t="s">
        <v>188</v>
      </c>
    </row>
    <row r="8" spans="1:9" ht="15.5" x14ac:dyDescent="0.4">
      <c r="C8" s="114" t="s">
        <v>306</v>
      </c>
      <c r="D8" s="33">
        <v>3</v>
      </c>
      <c r="E8" s="141" t="s">
        <v>202</v>
      </c>
      <c r="G8" t="s">
        <v>194</v>
      </c>
      <c r="H8" s="6">
        <f>D6/(D8*D9)</f>
        <v>1.3333333333333333</v>
      </c>
      <c r="I8" t="s">
        <v>195</v>
      </c>
    </row>
    <row r="9" spans="1:9" ht="16" thickBot="1" x14ac:dyDescent="0.45">
      <c r="C9" s="117" t="s">
        <v>305</v>
      </c>
      <c r="D9" s="118">
        <v>10</v>
      </c>
      <c r="E9" s="140" t="s">
        <v>204</v>
      </c>
      <c r="G9" t="s">
        <v>190</v>
      </c>
      <c r="H9">
        <f>D9*D8</f>
        <v>30</v>
      </c>
      <c r="I9" t="s">
        <v>191</v>
      </c>
    </row>
    <row r="13" spans="1:9" ht="13" thickBot="1" x14ac:dyDescent="0.3"/>
    <row r="14" spans="1:9" ht="15.5" x14ac:dyDescent="0.35">
      <c r="A14" s="110" t="s">
        <v>205</v>
      </c>
      <c r="B14" s="2" t="s">
        <v>304</v>
      </c>
      <c r="C14" s="111" t="s">
        <v>288</v>
      </c>
      <c r="D14" s="112">
        <v>0.95</v>
      </c>
      <c r="E14" s="113"/>
    </row>
    <row r="15" spans="1:9" x14ac:dyDescent="0.25">
      <c r="C15" s="114" t="s">
        <v>303</v>
      </c>
      <c r="D15" s="33">
        <v>0.95</v>
      </c>
      <c r="E15" s="115"/>
    </row>
    <row r="16" spans="1:9" x14ac:dyDescent="0.25">
      <c r="C16" s="114" t="s">
        <v>302</v>
      </c>
      <c r="D16" s="122">
        <v>10</v>
      </c>
      <c r="E16" s="115" t="s">
        <v>7</v>
      </c>
    </row>
    <row r="17" spans="2:9" x14ac:dyDescent="0.25">
      <c r="C17" s="114" t="s">
        <v>221</v>
      </c>
      <c r="D17" s="33">
        <v>12</v>
      </c>
      <c r="E17" s="115" t="s">
        <v>21</v>
      </c>
    </row>
    <row r="18" spans="2:9" x14ac:dyDescent="0.25">
      <c r="C18" s="114" t="s">
        <v>223</v>
      </c>
      <c r="D18" s="33">
        <v>0.8</v>
      </c>
      <c r="E18" s="115"/>
      <c r="G18" t="s">
        <v>208</v>
      </c>
      <c r="H18" s="6">
        <f>D14*D15*D19*D18*D16*D17/10</f>
        <v>8.2307999999999986</v>
      </c>
      <c r="I18" t="s">
        <v>195</v>
      </c>
    </row>
    <row r="19" spans="2:9" ht="13" thickBot="1" x14ac:dyDescent="0.3">
      <c r="C19" s="117" t="s">
        <v>212</v>
      </c>
      <c r="D19" s="118">
        <v>0.95</v>
      </c>
      <c r="E19" s="119"/>
      <c r="G19" t="s">
        <v>285</v>
      </c>
      <c r="H19" s="6">
        <f>D6/H18</f>
        <v>4.8597949166545185</v>
      </c>
      <c r="I19" t="s">
        <v>191</v>
      </c>
    </row>
    <row r="21" spans="2:9" ht="13" thickBot="1" x14ac:dyDescent="0.3"/>
    <row r="22" spans="2:9" ht="13" x14ac:dyDescent="0.3">
      <c r="B22" s="2" t="s">
        <v>275</v>
      </c>
      <c r="C22" s="111" t="s">
        <v>301</v>
      </c>
      <c r="D22" s="112">
        <v>5</v>
      </c>
      <c r="E22" s="113" t="s">
        <v>191</v>
      </c>
    </row>
    <row r="23" spans="2:9" x14ac:dyDescent="0.25">
      <c r="C23" s="114" t="s">
        <v>300</v>
      </c>
      <c r="D23" s="33" t="s">
        <v>299</v>
      </c>
      <c r="E23" s="115"/>
    </row>
    <row r="24" spans="2:9" x14ac:dyDescent="0.25">
      <c r="C24" s="139" t="s">
        <v>298</v>
      </c>
      <c r="D24" s="33">
        <v>0.95</v>
      </c>
      <c r="E24" s="115"/>
    </row>
    <row r="25" spans="2:9" x14ac:dyDescent="0.25">
      <c r="C25" s="139" t="s">
        <v>297</v>
      </c>
      <c r="D25" s="33">
        <v>0.95</v>
      </c>
      <c r="E25" s="115"/>
    </row>
    <row r="26" spans="2:9" x14ac:dyDescent="0.25">
      <c r="C26" s="139" t="s">
        <v>296</v>
      </c>
      <c r="D26" s="33">
        <v>0.8</v>
      </c>
      <c r="E26" s="115"/>
    </row>
    <row r="27" spans="2:9" x14ac:dyDescent="0.25">
      <c r="C27" s="139" t="s">
        <v>295</v>
      </c>
      <c r="D27" s="33">
        <v>0.95</v>
      </c>
      <c r="E27" s="115"/>
      <c r="G27" t="s">
        <v>208</v>
      </c>
      <c r="H27" s="6">
        <f>D24*D25*D26*D27*D28*D29/10</f>
        <v>5.7615599999999985</v>
      </c>
      <c r="I27" t="s">
        <v>195</v>
      </c>
    </row>
    <row r="28" spans="2:9" x14ac:dyDescent="0.25">
      <c r="C28" s="139" t="s">
        <v>294</v>
      </c>
      <c r="D28" s="33">
        <v>12</v>
      </c>
      <c r="E28" s="115" t="s">
        <v>21</v>
      </c>
      <c r="G28" t="s">
        <v>285</v>
      </c>
      <c r="H28" s="6">
        <f>D6/H27</f>
        <v>6.9425641666493121</v>
      </c>
      <c r="I28" t="s">
        <v>284</v>
      </c>
    </row>
    <row r="29" spans="2:9" ht="13" thickBot="1" x14ac:dyDescent="0.3">
      <c r="C29" s="138" t="s">
        <v>293</v>
      </c>
      <c r="D29" s="137">
        <v>7</v>
      </c>
      <c r="E29" s="119" t="s">
        <v>7</v>
      </c>
      <c r="G29" t="s">
        <v>292</v>
      </c>
      <c r="H29" s="6">
        <f>IF(D23="Esikuivauksessa",D22,D22+H28)</f>
        <v>5</v>
      </c>
      <c r="I29" t="s">
        <v>191</v>
      </c>
    </row>
    <row r="32" spans="2:9" ht="13" thickBot="1" x14ac:dyDescent="0.3"/>
    <row r="33" spans="1:9" ht="13" x14ac:dyDescent="0.3">
      <c r="B33" s="2" t="s">
        <v>291</v>
      </c>
      <c r="C33" s="136" t="s">
        <v>290</v>
      </c>
      <c r="D33" s="135">
        <v>30</v>
      </c>
      <c r="E33" s="113" t="s">
        <v>193</v>
      </c>
      <c r="G33" t="s">
        <v>289</v>
      </c>
      <c r="H33" s="25">
        <f>D7/(D33/100)</f>
        <v>10000</v>
      </c>
      <c r="I33" t="s">
        <v>188</v>
      </c>
    </row>
    <row r="34" spans="1:9" ht="13" x14ac:dyDescent="0.3">
      <c r="B34" s="2"/>
      <c r="C34" s="125" t="s">
        <v>288</v>
      </c>
      <c r="D34" s="33">
        <v>0.95</v>
      </c>
      <c r="E34" s="115"/>
      <c r="G34" t="s">
        <v>287</v>
      </c>
      <c r="H34" s="6">
        <f>D29</f>
        <v>7</v>
      </c>
      <c r="I34" t="s">
        <v>7</v>
      </c>
    </row>
    <row r="35" spans="1:9" x14ac:dyDescent="0.25">
      <c r="C35" s="125" t="s">
        <v>286</v>
      </c>
      <c r="D35" s="33">
        <v>0.95</v>
      </c>
      <c r="E35" s="115"/>
      <c r="G35" t="s">
        <v>208</v>
      </c>
      <c r="H35" s="6">
        <f>D34*D35*D36*D37*H34/10</f>
        <v>2.211125</v>
      </c>
      <c r="I35" t="s">
        <v>195</v>
      </c>
    </row>
    <row r="36" spans="1:9" x14ac:dyDescent="0.25">
      <c r="C36" s="125" t="s">
        <v>223</v>
      </c>
      <c r="D36" s="33">
        <v>0.5</v>
      </c>
      <c r="E36" s="115"/>
      <c r="G36" t="s">
        <v>285</v>
      </c>
      <c r="H36" s="6">
        <f>D6/H35</f>
        <v>18.090338628526201</v>
      </c>
      <c r="I36" t="s">
        <v>284</v>
      </c>
    </row>
    <row r="37" spans="1:9" ht="15.5" x14ac:dyDescent="0.4">
      <c r="C37" s="125" t="s">
        <v>221</v>
      </c>
      <c r="D37" s="33">
        <v>7</v>
      </c>
      <c r="E37" s="115" t="s">
        <v>21</v>
      </c>
      <c r="G37" t="s">
        <v>283</v>
      </c>
      <c r="H37" s="25">
        <f>H33*H35</f>
        <v>22111.25</v>
      </c>
      <c r="I37" t="s">
        <v>211</v>
      </c>
    </row>
    <row r="38" spans="1:9" ht="13" thickBot="1" x14ac:dyDescent="0.3">
      <c r="C38" s="126" t="s">
        <v>282</v>
      </c>
      <c r="D38" s="118">
        <v>750</v>
      </c>
      <c r="E38" s="119" t="s">
        <v>56</v>
      </c>
      <c r="G38" t="s">
        <v>281</v>
      </c>
      <c r="H38" s="25">
        <f>H33/D38</f>
        <v>13.333333333333334</v>
      </c>
      <c r="I38" t="s">
        <v>280</v>
      </c>
    </row>
    <row r="39" spans="1:9" x14ac:dyDescent="0.25">
      <c r="G39" t="s">
        <v>279</v>
      </c>
      <c r="H39" s="25">
        <f>H38*D6</f>
        <v>533.33333333333337</v>
      </c>
      <c r="I39" t="s">
        <v>278</v>
      </c>
    </row>
    <row r="41" spans="1:9" ht="13" x14ac:dyDescent="0.3">
      <c r="B41" s="2" t="s">
        <v>277</v>
      </c>
      <c r="H41" s="127">
        <f>H19+H29+H36</f>
        <v>27.950133545180719</v>
      </c>
      <c r="I41" s="2" t="s">
        <v>191</v>
      </c>
    </row>
    <row r="47" spans="1:9" ht="15.5" x14ac:dyDescent="0.35">
      <c r="A47" s="110" t="s">
        <v>264</v>
      </c>
      <c r="C47" s="134"/>
      <c r="D47" s="134" t="s">
        <v>276</v>
      </c>
      <c r="E47" s="134" t="s">
        <v>275</v>
      </c>
      <c r="F47" s="134" t="s">
        <v>274</v>
      </c>
      <c r="G47" s="134" t="s">
        <v>273</v>
      </c>
      <c r="H47" s="134" t="s">
        <v>272</v>
      </c>
    </row>
    <row r="48" spans="1:9" x14ac:dyDescent="0.25">
      <c r="C48" s="134" t="s">
        <v>271</v>
      </c>
      <c r="D48" s="133">
        <f>H18</f>
        <v>8.2307999999999986</v>
      </c>
      <c r="E48" s="134"/>
      <c r="F48" s="133">
        <f>H27</f>
        <v>5.7615599999999985</v>
      </c>
      <c r="G48" s="133">
        <f>H35</f>
        <v>2.211125</v>
      </c>
      <c r="H48" s="133">
        <f>D6/H41</f>
        <v>1.431120174626034</v>
      </c>
    </row>
    <row r="49" spans="3:8" x14ac:dyDescent="0.25">
      <c r="C49" s="134" t="s">
        <v>270</v>
      </c>
      <c r="D49" s="133">
        <f>H19</f>
        <v>4.8597949166545185</v>
      </c>
      <c r="E49" s="134">
        <f>D22</f>
        <v>5</v>
      </c>
      <c r="F49" s="133">
        <f>IF(D23="Esikuivauksessa",0,H28)</f>
        <v>0</v>
      </c>
      <c r="G49" s="133">
        <f>H36</f>
        <v>18.090338628526201</v>
      </c>
      <c r="H49" s="133">
        <f>SUM(D49:G49)</f>
        <v>27.950133545180719</v>
      </c>
    </row>
  </sheetData>
  <sheetProtection algorithmName="SHA-512" hashValue="Q/VDVWABQH4H8a+qMke5BqXuPUP49trqypDlCT0DW4c9BpgaVxWtYBEp0jldFMyX5m9DSlUyrjZveecT0OebvQ==" saltValue="vQ/N9sshCHSae2/G/R/lLA==" spinCount="100000" sheet="1" objects="1" scenarios="1"/>
  <mergeCells count="1">
    <mergeCell ref="B2:D3"/>
  </mergeCells>
  <dataValidations count="2">
    <dataValidation type="custom" allowBlank="1" showInputMessage="1" showErrorMessage="1" sqref="H33" xr:uid="{E623930B-B832-485D-A471-E9FB42362531}">
      <formula1>"""Älä muuta tätä"""</formula1>
    </dataValidation>
    <dataValidation type="list" allowBlank="1" showInputMessage="1" showErrorMessage="1" sqref="D23" xr:uid="{FAAC0407-D4CA-4844-8AFF-A1EA111E9C9C}">
      <formula1>"Esikuivauksessa,Erikseen"</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Laskuesimerkit</vt:lpstr>
      <vt:lpstr>Poutapäivät</vt:lpstr>
      <vt:lpstr>Koneluotettavuus</vt:lpstr>
      <vt:lpstr>Kylvökapasiteetti</vt:lpstr>
      <vt:lpstr>Kylvökapasiteetti 2 tekijää</vt:lpstr>
      <vt:lpstr>Suorakylvö</vt:lpstr>
      <vt:lpstr>Nurmiketju</vt:lpstr>
      <vt:lpstr>Noukinvaunu</vt:lpstr>
      <vt:lpstr>Paalain</vt:lpstr>
      <vt:lpstr>Puinti</vt:lpstr>
      <vt:lpstr>Äes_1</vt:lpstr>
      <vt:lpstr>Äes_2</vt:lpstr>
      <vt:lpstr>Äes_3</vt:lpstr>
      <vt:lpstr>Nurmikone</vt:lpstr>
      <vt:lpstr>f</vt:lpstr>
      <vt:lpstr>s</vt:lpstr>
      <vt:lpstr>μ</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Ahokas</dc:creator>
  <cp:lastModifiedBy>Agrotekno</cp:lastModifiedBy>
  <dcterms:created xsi:type="dcterms:W3CDTF">2017-01-24T09:53:02Z</dcterms:created>
  <dcterms:modified xsi:type="dcterms:W3CDTF">2026-04-16T12:57:16Z</dcterms:modified>
</cp:coreProperties>
</file>